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rswt.sharepoint.com/sites/iucnteam/Shared Documents/Peatland Programme/06 Peatland Code/6.1 Resources and Publ/6.1.1 Peatland Code/6.1.1.8 Version 2.1/Final V2.1 Files/"/>
    </mc:Choice>
  </mc:AlternateContent>
  <xr:revisionPtr revIDLastSave="108" documentId="8_{EDAD09AB-C311-4F25-8E2C-E7EE32092485}" xr6:coauthVersionLast="47" xr6:coauthVersionMax="47" xr10:uidLastSave="{D50CB6F7-50F3-4C72-98C6-ED8CC80AF249}"/>
  <bookViews>
    <workbookView xWindow="-110" yWindow="-110" windowWidth="19420" windowHeight="10420" tabRatio="776" xr2:uid="{41E7BD0B-A51C-4FD2-B935-5C50574379AD}"/>
  </bookViews>
  <sheets>
    <sheet name="Disclaimer" sheetId="18" r:id="rId1"/>
    <sheet name="Emissions Calculator Guidance" sheetId="15" r:id="rId2"/>
    <sheet name="Carbon Costs Guidance" sheetId="7" r:id="rId3"/>
    <sheet name=" Emissions Calculator" sheetId="16" r:id="rId4"/>
    <sheet name="Carbon Costs Calculator" sheetId="9" r:id="rId5"/>
    <sheet name="Outputs" sheetId="19" r:id="rId6"/>
    <sheet name="Carbon Cost Assumptions" sheetId="20" r:id="rId7"/>
    <sheet name="Emissions Lookup Table" sheetId="17" state="hidden" r:id="rId8"/>
    <sheet name="Graph" sheetId="14" state="hidden" r:id="rId9"/>
    <sheet name="GullyGrip Blocking Data" sheetId="10" state="hidden" r:id="rId10"/>
    <sheet name="Bunding Data" sheetId="11" state="hidden" r:id="rId11"/>
    <sheet name="Revegetation Data" sheetId="12" state="hidden" r:id="rId12"/>
    <sheet name="Project Data" sheetId="13" state="hidden" r:id="rId13"/>
  </sheets>
  <definedNames>
    <definedName name="_xlnm._FilterDatabase" localSheetId="7" hidden="1">'Emissions Lookup Table'!$B$4:$B$8</definedName>
    <definedName name="_xlnm._FilterDatabase" localSheetId="8" hidden="1">Graph!$B$2:$F$34</definedName>
    <definedName name="Area_of_each_site">#REF!</definedName>
    <definedName name="Graph_Table">Graph!$H$3:$L$32</definedName>
    <definedName name="IC">_xlfn._xlws.FILTER(Graph!$K$3:INDEX(Graph!$K$3:$K$32, COUNTA(Graph!$H$3:$H$32)), Graph!$H$3:INDEX(Graph!$H$3:$H$32, COUNTA(Graph!$H$3:$H$32))&lt;&gt;"")</definedName>
    <definedName name="ID">_xlfn._xlws.FILTER(Graph!$H$3:INDEX(Graph!$H$3:$H$32, COUNTA(Graph!$H$3:$H$32)), Graph!$H$3:INDEX(Graph!$H$3:$H$32, COUNTA(Graph!$H$3:$H$32))&lt;&gt;"")</definedName>
    <definedName name="IL">_xlfn._xlws.FILTER(Graph!$T$3:INDEX(Graph!$T$3:$T$32,COUNTA(Graph!$N$3:$N$32)),Graph!$N$3:INDEX(Graph!$N$3:$N$32,COUNTA(Graph!$N$3:$N$32))&lt;&gt;"")</definedName>
    <definedName name="MTC">_xlfn._xlws.FILTER(Graph!$J$3:INDEX(Graph!$J$3:$J$32, COUNTA(Graph!$H$3:$H$32)), Graph!$H$3:INDEX(Graph!$H$3:$H$32, COUNTA(Graph!$H$3:$H$32))&lt;&gt;"")</definedName>
    <definedName name="_xlnm.Print_Area" localSheetId="4">'Carbon Costs Calculator'!$AN$1:$AS$92</definedName>
    <definedName name="RMC">_xlfn._xlws.FILTER(Graph!$I$3:INDEX(Graph!$I$3:$I$32, COUNTA(Graph!$H$3:$H$32)), Graph!$H$3:INDEX(Graph!$H$3:$H$32, COUNTA(Graph!$H$3:$H$32))&lt;&gt;"")</definedName>
    <definedName name="Trans_IC">TRANSPOSE(_xlfn._xlws.FILTER(Graph!$K$3:INDEX(Graph!$K$3:$K$32, COUNTA(Graph!$H$3:$H$32)), Graph!$H$3:INDEX(Graph!$H$3:$H$32, COUNTA(Graph!$H$3:$H$32))&lt;&gt;""))</definedName>
    <definedName name="Trans_ID">TRANSPOSE(_xlfn._xlws.FILTER(Graph!$H$3:INDEX(Graph!$H$3:$H$32, COUNTA(Graph!$H$3:$H$32)), Graph!$H$3:INDEX(Graph!$H$3:$H$32, COUNTA(Graph!$H$3:$H$32))&lt;&gt;""))</definedName>
    <definedName name="Trans_IL">TRANSPOSE(IF(ISNUMBER(Graph!XEZ1048571:XEZ9), "0.00", ""))</definedName>
    <definedName name="Trans_MTC">TRANSPOSE(_xlfn._xlws.FILTER(Graph!$J$3:INDEX(Graph!$J$3:$J$32, COUNTA(Graph!$H$3:$H$32)), Graph!$H$3:INDEX(Graph!$H$3:$H$32, COUNTA(Graph!$H$3:$H$32))&lt;&gt;""))</definedName>
    <definedName name="Trans_RMC">TRANSPOSE(_xlfn._xlws.FILTER(Graph!$I$3:INDEX(Graph!$I$3:$I$32, COUNTA(Graph!$H$3:$H$32)), Graph!$H$3:INDEX(Graph!$H$3:$H$32, COUNTA(Graph!$H$3:$H$32))&lt;&gt;""))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9" l="1"/>
  <c r="E6" i="9" s="1"/>
  <c r="D7" i="9"/>
  <c r="E7" i="9" s="1"/>
  <c r="D8" i="9"/>
  <c r="E8" i="9" s="1"/>
  <c r="G6" i="9" l="1"/>
  <c r="G8" i="9"/>
  <c r="G7" i="9"/>
  <c r="AO43" i="9" l="1" a="1"/>
  <c r="AO43" i="9" s="1"/>
  <c r="AR24" i="9" l="1"/>
  <c r="AR25" i="9"/>
  <c r="AR26" i="9"/>
  <c r="AQ24" i="9"/>
  <c r="AQ25" i="9"/>
  <c r="AQ26" i="9"/>
  <c r="AR14" i="9"/>
  <c r="AQ14" i="9"/>
  <c r="AR12" i="9"/>
  <c r="AR13" i="9"/>
  <c r="AQ12" i="9"/>
  <c r="AQ13" i="9"/>
  <c r="D5" i="9"/>
  <c r="E5" i="9" s="1"/>
  <c r="M5" i="9"/>
  <c r="V5" i="9"/>
  <c r="W5" i="9" s="1"/>
  <c r="E16" i="16"/>
  <c r="M7" i="9"/>
  <c r="P7" i="9" s="1"/>
  <c r="M8" i="9"/>
  <c r="N8" i="9" s="1"/>
  <c r="M9" i="9"/>
  <c r="N9" i="9" s="1"/>
  <c r="M10" i="9"/>
  <c r="N10" i="9" s="1"/>
  <c r="M11" i="9"/>
  <c r="N11" i="9" s="1"/>
  <c r="M12" i="9"/>
  <c r="N12" i="9" s="1"/>
  <c r="M13" i="9"/>
  <c r="N13" i="9" s="1"/>
  <c r="M14" i="9"/>
  <c r="N14" i="9" s="1"/>
  <c r="D9" i="9"/>
  <c r="E9" i="9" s="1"/>
  <c r="D10" i="9"/>
  <c r="E10" i="9" s="1"/>
  <c r="D11" i="9"/>
  <c r="E11" i="9" s="1"/>
  <c r="D12" i="9"/>
  <c r="E12" i="9" s="1"/>
  <c r="D13" i="9"/>
  <c r="E13" i="9" s="1"/>
  <c r="D14" i="9"/>
  <c r="AN14" i="9" s="1"/>
  <c r="AO14" i="9" s="1"/>
  <c r="K6" i="19"/>
  <c r="L6" i="19" s="1"/>
  <c r="K7" i="19" s="1"/>
  <c r="L7" i="19" s="1"/>
  <c r="K8" i="19" s="1"/>
  <c r="L8" i="19" s="1"/>
  <c r="K9" i="19" s="1"/>
  <c r="L9" i="19" s="1"/>
  <c r="K10" i="19" s="1"/>
  <c r="L10" i="19" s="1"/>
  <c r="K11" i="19" s="1"/>
  <c r="L11" i="19" s="1"/>
  <c r="K12" i="19" s="1"/>
  <c r="L12" i="19" s="1"/>
  <c r="K13" i="19" s="1"/>
  <c r="L13" i="19" s="1"/>
  <c r="K14" i="19" s="1"/>
  <c r="L14" i="19" s="1"/>
  <c r="K15" i="19" s="1"/>
  <c r="L15" i="19" s="1"/>
  <c r="K16" i="19" s="1"/>
  <c r="L16" i="19" s="1"/>
  <c r="AN24" i="9" l="1"/>
  <c r="AO24" i="9" s="1"/>
  <c r="N5" i="9"/>
  <c r="AN26" i="9"/>
  <c r="AO26" i="9" s="1"/>
  <c r="AN25" i="9"/>
  <c r="AO25" i="9" s="1"/>
  <c r="G14" i="9"/>
  <c r="AN13" i="9"/>
  <c r="AO13" i="9" s="1"/>
  <c r="AN12" i="9"/>
  <c r="AO12" i="9" s="1"/>
  <c r="Y5" i="9"/>
  <c r="G5" i="9"/>
  <c r="P5" i="9"/>
  <c r="P14" i="9"/>
  <c r="N7" i="9"/>
  <c r="P13" i="9"/>
  <c r="P12" i="9"/>
  <c r="P11" i="9"/>
  <c r="G13" i="9"/>
  <c r="G11" i="9"/>
  <c r="E14" i="9"/>
  <c r="G10" i="9"/>
  <c r="P10" i="9"/>
  <c r="G12" i="9"/>
  <c r="G9" i="9"/>
  <c r="P9" i="9"/>
  <c r="P8" i="9"/>
  <c r="E104" i="17" l="1"/>
  <c r="C104" i="17"/>
  <c r="E84" i="17"/>
  <c r="C84" i="17"/>
  <c r="E64" i="17"/>
  <c r="C64" i="17"/>
  <c r="E44" i="17"/>
  <c r="C44" i="17"/>
  <c r="E25" i="17"/>
  <c r="E24" i="17"/>
  <c r="C24" i="17"/>
  <c r="E5" i="17"/>
  <c r="E4" i="17"/>
  <c r="C4" i="17"/>
  <c r="L9" i="16" a="1"/>
  <c r="L9" i="16" s="1"/>
  <c r="AE6" i="16"/>
  <c r="AD6" i="16"/>
  <c r="AC6" i="16"/>
  <c r="AB6" i="16"/>
  <c r="AA6" i="16"/>
  <c r="Z6" i="16"/>
  <c r="Y6" i="16"/>
  <c r="X6" i="16"/>
  <c r="W6" i="16"/>
  <c r="V6" i="16"/>
  <c r="S3" i="16"/>
  <c r="R3" i="16"/>
  <c r="Q3" i="16"/>
  <c r="P3" i="16"/>
  <c r="O3" i="16"/>
  <c r="N3" i="16"/>
  <c r="M3" i="16"/>
  <c r="L3" i="16"/>
  <c r="K3" i="16"/>
  <c r="J3" i="16"/>
  <c r="S2" i="16"/>
  <c r="S11" i="16" s="1" a="1"/>
  <c r="S11" i="16" s="1"/>
  <c r="R2" i="16"/>
  <c r="R14" i="16" s="1" a="1"/>
  <c r="R14" i="16" s="1"/>
  <c r="Q2" i="16"/>
  <c r="Q13" i="16" s="1" a="1"/>
  <c r="Q13" i="16" s="1"/>
  <c r="P2" i="16"/>
  <c r="P18" i="16" s="1" a="1"/>
  <c r="P18" i="16" s="1"/>
  <c r="O2" i="16"/>
  <c r="O7" i="16" s="1" a="1"/>
  <c r="O7" i="16" s="1"/>
  <c r="N2" i="16"/>
  <c r="N16" i="16" s="1" a="1"/>
  <c r="N16" i="16" s="1"/>
  <c r="M2" i="16"/>
  <c r="M8" i="16" s="1" a="1"/>
  <c r="M8" i="16" s="1"/>
  <c r="L2" i="16"/>
  <c r="L17" i="16" s="1" a="1"/>
  <c r="L17" i="16" s="1"/>
  <c r="K2" i="16"/>
  <c r="J2" i="16"/>
  <c r="J7" i="16" s="1" a="1"/>
  <c r="J7" i="16" s="1"/>
  <c r="S1" i="16"/>
  <c r="R1" i="16"/>
  <c r="Q1" i="16"/>
  <c r="P1" i="16"/>
  <c r="O1" i="16"/>
  <c r="N1" i="16"/>
  <c r="M1" i="16"/>
  <c r="L1" i="16"/>
  <c r="K1" i="16"/>
  <c r="J1" i="16"/>
  <c r="D28" i="13"/>
  <c r="C28" i="13" s="1"/>
  <c r="D27" i="13"/>
  <c r="C27" i="13" s="1"/>
  <c r="B28" i="13"/>
  <c r="B27" i="13"/>
  <c r="F109" i="12"/>
  <c r="D109" i="12"/>
  <c r="D108" i="12"/>
  <c r="C109" i="12"/>
  <c r="E109" i="12" s="1"/>
  <c r="C108" i="12"/>
  <c r="E108" i="12"/>
  <c r="B109" i="12"/>
  <c r="B108" i="12"/>
  <c r="B64" i="12"/>
  <c r="C52" i="12"/>
  <c r="C51" i="12"/>
  <c r="C50" i="12"/>
  <c r="C49" i="12"/>
  <c r="C48" i="12"/>
  <c r="C47" i="12"/>
  <c r="C46" i="12"/>
  <c r="C45" i="12"/>
  <c r="C44" i="12"/>
  <c r="C43" i="12"/>
  <c r="C42" i="12"/>
  <c r="C41" i="12"/>
  <c r="B52" i="12"/>
  <c r="B51" i="12"/>
  <c r="B50" i="12"/>
  <c r="B49" i="12"/>
  <c r="B48" i="12"/>
  <c r="B47" i="12"/>
  <c r="B46" i="12"/>
  <c r="B45" i="12"/>
  <c r="B44" i="12"/>
  <c r="B43" i="12"/>
  <c r="B42" i="12"/>
  <c r="B41" i="12"/>
  <c r="D52" i="12"/>
  <c r="D75" i="12" s="1"/>
  <c r="B121" i="13"/>
  <c r="B122" i="13"/>
  <c r="B123" i="13"/>
  <c r="B124" i="13"/>
  <c r="B125" i="13"/>
  <c r="B126" i="13"/>
  <c r="B127" i="13"/>
  <c r="B128" i="13"/>
  <c r="B129" i="13"/>
  <c r="B130" i="13"/>
  <c r="B131" i="13"/>
  <c r="B132" i="13"/>
  <c r="B133" i="13"/>
  <c r="C132" i="13"/>
  <c r="C133" i="13"/>
  <c r="B120" i="13"/>
  <c r="C125" i="13"/>
  <c r="C126" i="13"/>
  <c r="C127" i="13"/>
  <c r="C128" i="13"/>
  <c r="C129" i="13"/>
  <c r="C130" i="13"/>
  <c r="C120" i="13"/>
  <c r="C121" i="13"/>
  <c r="C122" i="13"/>
  <c r="C123" i="13"/>
  <c r="C124" i="13"/>
  <c r="C131" i="13"/>
  <c r="C30" i="13"/>
  <c r="C31" i="13"/>
  <c r="C32" i="13"/>
  <c r="D113" i="12"/>
  <c r="D112" i="12"/>
  <c r="C113" i="12"/>
  <c r="C112" i="12"/>
  <c r="B113" i="12"/>
  <c r="B112" i="12"/>
  <c r="B67" i="12"/>
  <c r="D214" i="11"/>
  <c r="D213" i="11"/>
  <c r="D212" i="11"/>
  <c r="D211" i="11"/>
  <c r="D210" i="11"/>
  <c r="D209" i="11"/>
  <c r="D208" i="11"/>
  <c r="D207" i="11"/>
  <c r="D206" i="11"/>
  <c r="D205" i="11"/>
  <c r="D204" i="11"/>
  <c r="D203" i="11"/>
  <c r="D202" i="11"/>
  <c r="D201" i="11"/>
  <c r="B212" i="11"/>
  <c r="E212" i="11" s="1"/>
  <c r="B213" i="11"/>
  <c r="C214" i="11"/>
  <c r="C213" i="11"/>
  <c r="E213" i="11" s="1"/>
  <c r="C212" i="11"/>
  <c r="C211" i="11"/>
  <c r="C210" i="11"/>
  <c r="C209" i="11"/>
  <c r="C208" i="11"/>
  <c r="C207" i="11"/>
  <c r="C206" i="11"/>
  <c r="C205" i="11"/>
  <c r="C204" i="11"/>
  <c r="C203" i="11"/>
  <c r="C202" i="11"/>
  <c r="C201" i="11"/>
  <c r="B202" i="11"/>
  <c r="B203" i="11"/>
  <c r="B204" i="11"/>
  <c r="B205" i="11"/>
  <c r="B206" i="11"/>
  <c r="B207" i="11"/>
  <c r="B208" i="11"/>
  <c r="B209" i="11"/>
  <c r="B210" i="11"/>
  <c r="E210" i="11" s="1"/>
  <c r="B211" i="11"/>
  <c r="B214" i="11"/>
  <c r="B201" i="11"/>
  <c r="B172" i="11"/>
  <c r="C172" i="11"/>
  <c r="B173" i="11"/>
  <c r="C173" i="11"/>
  <c r="B174" i="11"/>
  <c r="C174" i="11"/>
  <c r="B175" i="11"/>
  <c r="C175" i="11"/>
  <c r="B176" i="11"/>
  <c r="C176" i="11"/>
  <c r="B177" i="11"/>
  <c r="C177" i="11"/>
  <c r="B178" i="11"/>
  <c r="C178" i="11"/>
  <c r="B179" i="11"/>
  <c r="C179" i="11"/>
  <c r="B180" i="11"/>
  <c r="C180" i="11"/>
  <c r="B181" i="11"/>
  <c r="C181" i="11"/>
  <c r="B182" i="11"/>
  <c r="C182" i="11"/>
  <c r="B183" i="11"/>
  <c r="C183" i="11"/>
  <c r="B184" i="11"/>
  <c r="C184" i="11"/>
  <c r="B185" i="11"/>
  <c r="C185" i="11"/>
  <c r="B186" i="11"/>
  <c r="C186" i="11"/>
  <c r="B187" i="11"/>
  <c r="C187" i="11"/>
  <c r="B188" i="11"/>
  <c r="C188" i="11"/>
  <c r="B189" i="11"/>
  <c r="C189" i="11"/>
  <c r="B190" i="11"/>
  <c r="C190" i="11"/>
  <c r="B191" i="11"/>
  <c r="C191" i="11"/>
  <c r="B192" i="11"/>
  <c r="C192" i="11"/>
  <c r="B193" i="11"/>
  <c r="C193" i="11"/>
  <c r="B194" i="11"/>
  <c r="C194" i="11"/>
  <c r="B195" i="11"/>
  <c r="C195" i="11"/>
  <c r="B196" i="11"/>
  <c r="C196" i="11"/>
  <c r="B197" i="11"/>
  <c r="C197" i="11"/>
  <c r="B198" i="11"/>
  <c r="C198" i="11"/>
  <c r="B199" i="11"/>
  <c r="C199" i="11"/>
  <c r="B200" i="11"/>
  <c r="C200" i="11"/>
  <c r="B215" i="11"/>
  <c r="C215" i="11"/>
  <c r="B216" i="11"/>
  <c r="C216" i="11"/>
  <c r="B217" i="11"/>
  <c r="C217" i="11"/>
  <c r="B218" i="11"/>
  <c r="C218" i="11"/>
  <c r="B219" i="11"/>
  <c r="C219" i="11"/>
  <c r="B220" i="11"/>
  <c r="C220" i="11"/>
  <c r="B221" i="11"/>
  <c r="C221" i="11"/>
  <c r="B222" i="11"/>
  <c r="C222" i="11"/>
  <c r="B223" i="11"/>
  <c r="C223" i="11"/>
  <c r="B224" i="11"/>
  <c r="C224" i="11"/>
  <c r="B225" i="11"/>
  <c r="C225" i="11"/>
  <c r="B226" i="11"/>
  <c r="C226" i="11"/>
  <c r="B227" i="11"/>
  <c r="C227" i="11"/>
  <c r="B228" i="11"/>
  <c r="C228" i="11"/>
  <c r="B229" i="11"/>
  <c r="C229" i="11"/>
  <c r="B230" i="11"/>
  <c r="C230" i="11"/>
  <c r="B231" i="11"/>
  <c r="C231" i="11"/>
  <c r="B232" i="11"/>
  <c r="C232" i="11"/>
  <c r="B233" i="11"/>
  <c r="C233" i="11"/>
  <c r="B234" i="11"/>
  <c r="C234" i="11"/>
  <c r="B235" i="11"/>
  <c r="C235" i="11"/>
  <c r="B236" i="11"/>
  <c r="C236" i="11"/>
  <c r="B237" i="11"/>
  <c r="C237" i="11"/>
  <c r="B238" i="11"/>
  <c r="C238" i="11"/>
  <c r="B239" i="11"/>
  <c r="C239" i="11"/>
  <c r="B240" i="11"/>
  <c r="C240" i="11"/>
  <c r="B241" i="11"/>
  <c r="C241" i="11"/>
  <c r="B242" i="11"/>
  <c r="C242" i="11"/>
  <c r="B243" i="11"/>
  <c r="C243" i="11"/>
  <c r="B244" i="11"/>
  <c r="C244" i="11"/>
  <c r="B245" i="11"/>
  <c r="C245" i="11"/>
  <c r="B246" i="11"/>
  <c r="C246" i="11"/>
  <c r="B247" i="11"/>
  <c r="C247" i="11"/>
  <c r="B248" i="11"/>
  <c r="C248" i="11"/>
  <c r="B249" i="11"/>
  <c r="C249" i="11"/>
  <c r="B250" i="11"/>
  <c r="C250" i="11"/>
  <c r="B251" i="11"/>
  <c r="C251" i="11"/>
  <c r="B252" i="11"/>
  <c r="C252" i="11"/>
  <c r="B253" i="11"/>
  <c r="C253" i="11"/>
  <c r="B254" i="11"/>
  <c r="C254" i="11"/>
  <c r="B255" i="11"/>
  <c r="C255" i="11"/>
  <c r="B256" i="11"/>
  <c r="C256" i="11"/>
  <c r="B257" i="11"/>
  <c r="C257" i="11"/>
  <c r="B258" i="11"/>
  <c r="C258" i="11"/>
  <c r="B259" i="11"/>
  <c r="C259" i="11"/>
  <c r="B260" i="11"/>
  <c r="C260" i="11"/>
  <c r="B261" i="11"/>
  <c r="C261" i="11"/>
  <c r="B262" i="11"/>
  <c r="C262" i="11"/>
  <c r="B263" i="11"/>
  <c r="C263" i="11"/>
  <c r="B264" i="11"/>
  <c r="C264" i="11"/>
  <c r="B265" i="11"/>
  <c r="C265" i="11"/>
  <c r="B266" i="11"/>
  <c r="C266" i="11"/>
  <c r="B267" i="11"/>
  <c r="C267" i="11"/>
  <c r="B268" i="11"/>
  <c r="C268" i="11"/>
  <c r="B269" i="11"/>
  <c r="C269" i="11"/>
  <c r="B270" i="11"/>
  <c r="C270" i="11"/>
  <c r="B271" i="11"/>
  <c r="C271" i="11"/>
  <c r="B272" i="11"/>
  <c r="C272" i="11"/>
  <c r="B273" i="11"/>
  <c r="C273" i="11"/>
  <c r="B274" i="11"/>
  <c r="C274" i="11"/>
  <c r="B275" i="11"/>
  <c r="C275" i="11"/>
  <c r="B276" i="11"/>
  <c r="C276" i="11"/>
  <c r="B277" i="11"/>
  <c r="C277" i="11"/>
  <c r="B278" i="11"/>
  <c r="C278" i="11"/>
  <c r="B279" i="11"/>
  <c r="C279" i="11"/>
  <c r="B280" i="11"/>
  <c r="C280" i="11"/>
  <c r="B281" i="11"/>
  <c r="C281" i="11"/>
  <c r="B282" i="11"/>
  <c r="C282" i="11"/>
  <c r="B283" i="11"/>
  <c r="C283" i="11"/>
  <c r="B284" i="11"/>
  <c r="C284" i="11"/>
  <c r="B285" i="11"/>
  <c r="C285" i="11"/>
  <c r="B286" i="11"/>
  <c r="C286" i="11"/>
  <c r="B287" i="11"/>
  <c r="C287" i="11"/>
  <c r="B288" i="11"/>
  <c r="C288" i="11"/>
  <c r="B289" i="11"/>
  <c r="C289" i="11"/>
  <c r="B290" i="11"/>
  <c r="C290" i="11"/>
  <c r="B291" i="11"/>
  <c r="C291" i="11"/>
  <c r="B292" i="11"/>
  <c r="C292" i="11"/>
  <c r="C85" i="11"/>
  <c r="C86" i="11"/>
  <c r="C87" i="11"/>
  <c r="C88" i="11"/>
  <c r="C89" i="11"/>
  <c r="C90" i="11"/>
  <c r="C84" i="11"/>
  <c r="C78" i="11"/>
  <c r="C79" i="11"/>
  <c r="C80" i="11"/>
  <c r="C81" i="11"/>
  <c r="C82" i="11"/>
  <c r="C83" i="11"/>
  <c r="C77" i="11"/>
  <c r="C76" i="11"/>
  <c r="C70" i="11"/>
  <c r="C71" i="11"/>
  <c r="C72" i="11"/>
  <c r="C73" i="11"/>
  <c r="C74" i="11"/>
  <c r="C75" i="11"/>
  <c r="C69" i="11"/>
  <c r="C63" i="11"/>
  <c r="C64" i="11"/>
  <c r="C65" i="11"/>
  <c r="C66" i="11"/>
  <c r="C67" i="11"/>
  <c r="C68" i="11"/>
  <c r="C62" i="11"/>
  <c r="C60" i="11"/>
  <c r="C61" i="11"/>
  <c r="C59" i="11"/>
  <c r="C53" i="11"/>
  <c r="C54" i="11"/>
  <c r="C55" i="11"/>
  <c r="C56" i="11"/>
  <c r="C57" i="11"/>
  <c r="C58" i="11"/>
  <c r="C52" i="11"/>
  <c r="C46" i="11"/>
  <c r="D46" i="11" s="1"/>
  <c r="F46" i="11" s="1"/>
  <c r="C47" i="11"/>
  <c r="D47" i="11" s="1"/>
  <c r="F47" i="11" s="1"/>
  <c r="C48" i="11"/>
  <c r="D48" i="11" s="1"/>
  <c r="F48" i="11" s="1"/>
  <c r="C49" i="11"/>
  <c r="D49" i="11" s="1"/>
  <c r="F49" i="11" s="1"/>
  <c r="C50" i="11"/>
  <c r="D50" i="11" s="1"/>
  <c r="D113" i="11" s="1"/>
  <c r="C51" i="11"/>
  <c r="D51" i="11" s="1"/>
  <c r="F51" i="11" s="1"/>
  <c r="C45" i="11"/>
  <c r="D45" i="11" s="1"/>
  <c r="F45" i="11" s="1"/>
  <c r="C40" i="11"/>
  <c r="C35" i="11"/>
  <c r="C268" i="13"/>
  <c r="C269" i="13"/>
  <c r="C270" i="13"/>
  <c r="C271" i="13"/>
  <c r="C272" i="13"/>
  <c r="C273" i="13"/>
  <c r="C267" i="13"/>
  <c r="C266" i="13"/>
  <c r="C259" i="13"/>
  <c r="C260" i="13"/>
  <c r="C261" i="13"/>
  <c r="C262" i="13"/>
  <c r="C263" i="13"/>
  <c r="C264" i="13"/>
  <c r="C258" i="13"/>
  <c r="C257" i="13"/>
  <c r="C256" i="13"/>
  <c r="C255" i="13"/>
  <c r="C253" i="13"/>
  <c r="C252" i="13"/>
  <c r="C250" i="13"/>
  <c r="C249" i="13"/>
  <c r="C247" i="13"/>
  <c r="C246" i="13"/>
  <c r="C244" i="13"/>
  <c r="C243"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135" i="13"/>
  <c r="C119" i="13"/>
  <c r="C117" i="13"/>
  <c r="C115" i="13"/>
  <c r="C113" i="13"/>
  <c r="C111" i="13"/>
  <c r="C109" i="13"/>
  <c r="C108" i="13"/>
  <c r="C107" i="13"/>
  <c r="C106" i="13"/>
  <c r="C105" i="13"/>
  <c r="C104" i="13"/>
  <c r="C103" i="13"/>
  <c r="C102" i="13"/>
  <c r="C100" i="13"/>
  <c r="C99" i="13"/>
  <c r="C97" i="13"/>
  <c r="C96" i="13"/>
  <c r="C94" i="13"/>
  <c r="C93" i="13"/>
  <c r="C91" i="13"/>
  <c r="C90" i="13"/>
  <c r="C88" i="13"/>
  <c r="C87" i="13"/>
  <c r="C85" i="13"/>
  <c r="C84" i="13"/>
  <c r="C82" i="13"/>
  <c r="C81" i="13"/>
  <c r="C79" i="13"/>
  <c r="C78" i="13"/>
  <c r="C76" i="13"/>
  <c r="C75" i="13"/>
  <c r="C73" i="13"/>
  <c r="C72" i="13"/>
  <c r="C70" i="13"/>
  <c r="C69" i="13"/>
  <c r="C67" i="13"/>
  <c r="C66" i="13"/>
  <c r="C64" i="13"/>
  <c r="C63" i="13"/>
  <c r="C61" i="13"/>
  <c r="C60" i="13"/>
  <c r="C58" i="13"/>
  <c r="C57" i="13"/>
  <c r="C55" i="13"/>
  <c r="C54" i="13"/>
  <c r="C52" i="13"/>
  <c r="C51" i="13"/>
  <c r="C49" i="13"/>
  <c r="C48" i="13"/>
  <c r="C46" i="13"/>
  <c r="C45" i="13"/>
  <c r="C43" i="13"/>
  <c r="C42" i="13"/>
  <c r="C40" i="13"/>
  <c r="C39" i="13"/>
  <c r="C37" i="13"/>
  <c r="C36" i="13"/>
  <c r="C34" i="13"/>
  <c r="C33" i="13"/>
  <c r="C29" i="13"/>
  <c r="C26" i="13"/>
  <c r="C25" i="13"/>
  <c r="C23" i="13"/>
  <c r="C22" i="13"/>
  <c r="C20" i="13"/>
  <c r="C19" i="13"/>
  <c r="C16" i="13"/>
  <c r="C17" i="13"/>
  <c r="C14" i="13"/>
  <c r="C13" i="13"/>
  <c r="C15" i="13"/>
  <c r="C18" i="13"/>
  <c r="C21" i="13"/>
  <c r="C24" i="13"/>
  <c r="C35" i="13"/>
  <c r="C38" i="13"/>
  <c r="C41" i="13"/>
  <c r="C44" i="13"/>
  <c r="C47" i="13"/>
  <c r="C50" i="13"/>
  <c r="C53" i="13"/>
  <c r="C56" i="13"/>
  <c r="C59" i="13"/>
  <c r="C62" i="13"/>
  <c r="C65" i="13"/>
  <c r="C68" i="13"/>
  <c r="C71" i="13"/>
  <c r="C74" i="13"/>
  <c r="C77" i="13"/>
  <c r="C80" i="13"/>
  <c r="C83" i="13"/>
  <c r="C86" i="13"/>
  <c r="C89" i="13"/>
  <c r="C92" i="13"/>
  <c r="C95" i="13"/>
  <c r="C98" i="13"/>
  <c r="C101" i="13"/>
  <c r="C110" i="13"/>
  <c r="C112" i="13"/>
  <c r="C114" i="13"/>
  <c r="C116" i="13"/>
  <c r="C118" i="13"/>
  <c r="C134" i="13"/>
  <c r="C242" i="13"/>
  <c r="C245" i="13"/>
  <c r="C248" i="13"/>
  <c r="C251" i="13"/>
  <c r="C254" i="13"/>
  <c r="C265" i="13"/>
  <c r="C12" i="13"/>
  <c r="AO47" i="9" a="1"/>
  <c r="AO47" i="9" s="1"/>
  <c r="F4" i="13"/>
  <c r="AO46" i="9" s="1" a="1"/>
  <c r="AO46" i="9" s="1"/>
  <c r="S18" i="14" a="1"/>
  <c r="S18" i="14" s="1"/>
  <c r="S22" i="14" a="1"/>
  <c r="S22" i="14" s="1"/>
  <c r="S23" i="14" a="1"/>
  <c r="S23" i="14" s="1"/>
  <c r="S24" i="14" a="1"/>
  <c r="S24" i="14" s="1"/>
  <c r="S25" i="14" a="1"/>
  <c r="S25" i="14" s="1"/>
  <c r="S26" i="14" a="1"/>
  <c r="S26" i="14" s="1"/>
  <c r="S27" i="14" a="1"/>
  <c r="S27" i="14" s="1"/>
  <c r="S28" i="14" a="1"/>
  <c r="S28" i="14" s="1"/>
  <c r="S29" i="14" a="1"/>
  <c r="S29" i="14" s="1"/>
  <c r="S30" i="14" a="1"/>
  <c r="S30" i="14" s="1"/>
  <c r="S31" i="14" a="1"/>
  <c r="S31" i="14" s="1"/>
  <c r="S32" i="14" a="1"/>
  <c r="S32" i="14" s="1"/>
  <c r="B23" i="14" a="1"/>
  <c r="B23" i="14" s="1"/>
  <c r="C62" i="12" a="1"/>
  <c r="C62" i="12" s="1"/>
  <c r="C60" i="12" a="1"/>
  <c r="C60" i="12" s="1"/>
  <c r="C99" i="11" a="1"/>
  <c r="C99" i="11" s="1"/>
  <c r="C92" i="10" a="1"/>
  <c r="C92" i="10" s="1"/>
  <c r="C86" i="10" a="1"/>
  <c r="C86" i="10" s="1"/>
  <c r="C63" i="12" a="1"/>
  <c r="C63" i="12" s="1"/>
  <c r="C61" i="12" a="1"/>
  <c r="C61" i="12" s="1"/>
  <c r="C59" i="12" a="1"/>
  <c r="C59" i="12" s="1"/>
  <c r="C98" i="11" a="1"/>
  <c r="C98" i="11" s="1"/>
  <c r="C93" i="10" a="1"/>
  <c r="C93" i="10" s="1"/>
  <c r="C91" i="10" a="1"/>
  <c r="C91" i="10" s="1"/>
  <c r="C85" i="10" a="1"/>
  <c r="C85" i="10" s="1"/>
  <c r="C84" i="10" a="1"/>
  <c r="C84" i="10" s="1"/>
  <c r="B4" i="13"/>
  <c r="I4" i="13"/>
  <c r="AO45" i="9" s="1" a="1"/>
  <c r="AO45" i="9" s="1"/>
  <c r="M6" i="9"/>
  <c r="AN19" i="9"/>
  <c r="AN20" i="9"/>
  <c r="AN21" i="9"/>
  <c r="AN22" i="9"/>
  <c r="AN23" i="9"/>
  <c r="AN7" i="9"/>
  <c r="AN8" i="9"/>
  <c r="AN9" i="9"/>
  <c r="AN10" i="9"/>
  <c r="AO10" i="9" s="1"/>
  <c r="AN11" i="9"/>
  <c r="AO48" i="9" a="1"/>
  <c r="AO48" i="9" s="1"/>
  <c r="AQ30" i="9"/>
  <c r="AQ31" i="9"/>
  <c r="AQ32" i="9"/>
  <c r="AQ33" i="9"/>
  <c r="AQ34" i="9"/>
  <c r="AQ35" i="9"/>
  <c r="AQ36" i="9"/>
  <c r="AQ37" i="9"/>
  <c r="AQ38" i="9"/>
  <c r="AR30" i="9"/>
  <c r="AR31" i="9"/>
  <c r="AR32" i="9"/>
  <c r="AR33" i="9"/>
  <c r="AR34" i="9"/>
  <c r="AR35" i="9"/>
  <c r="AR36" i="9"/>
  <c r="AR37" i="9"/>
  <c r="AR38" i="9"/>
  <c r="AR29" i="9"/>
  <c r="AR18" i="9"/>
  <c r="AR19" i="9"/>
  <c r="AR20" i="9"/>
  <c r="AR21" i="9"/>
  <c r="AR22" i="9"/>
  <c r="AR23" i="9"/>
  <c r="AR17" i="9"/>
  <c r="AR6" i="9"/>
  <c r="AR7" i="9"/>
  <c r="AR8" i="9"/>
  <c r="AR9" i="9"/>
  <c r="AR10" i="9"/>
  <c r="AR11" i="9"/>
  <c r="AR5" i="9"/>
  <c r="S8" i="16" l="1" a="1"/>
  <c r="S8" i="16" s="1"/>
  <c r="S7" i="16" a="1"/>
  <c r="S7" i="16" s="1"/>
  <c r="R8" i="16" a="1"/>
  <c r="R8" i="16" s="1"/>
  <c r="AD8" i="16" s="1"/>
  <c r="AN6" i="9"/>
  <c r="B3" i="14" a="1"/>
  <c r="B3" i="14" s="1"/>
  <c r="AN18" i="9"/>
  <c r="B13" i="14" a="1"/>
  <c r="B13" i="14" s="1"/>
  <c r="L7" i="16" a="1"/>
  <c r="L7" i="16" s="1"/>
  <c r="X7" i="16" s="1"/>
  <c r="X9" i="16"/>
  <c r="R10" i="16" a="1"/>
  <c r="R10" i="16" s="1"/>
  <c r="AD10" i="16" s="1"/>
  <c r="N7" i="16" a="1"/>
  <c r="N7" i="16" s="1"/>
  <c r="Z7" i="16" s="1"/>
  <c r="N8" i="16" a="1"/>
  <c r="N8" i="16" s="1"/>
  <c r="Z8" i="16" s="1"/>
  <c r="R9" i="16" a="1"/>
  <c r="R9" i="16" s="1"/>
  <c r="AD9" i="16" s="1"/>
  <c r="Q11" i="16" a="1"/>
  <c r="Q11" i="16" s="1"/>
  <c r="Q12" i="16" a="1"/>
  <c r="Q12" i="16" s="1"/>
  <c r="R7" i="16" a="1"/>
  <c r="R7" i="16" s="1"/>
  <c r="AD7" i="16" s="1"/>
  <c r="L8" i="16" a="1"/>
  <c r="L8" i="16" s="1"/>
  <c r="X8" i="16" s="1"/>
  <c r="AC13" i="16"/>
  <c r="X17" i="16"/>
  <c r="R11" i="16" a="1"/>
  <c r="R11" i="16" s="1"/>
  <c r="AD11" i="16" s="1"/>
  <c r="AE11" i="16"/>
  <c r="Q19" i="16" a="1"/>
  <c r="Q19" i="16" s="1"/>
  <c r="Q20" i="16" a="1"/>
  <c r="Q20" i="16" s="1"/>
  <c r="Q21" i="16" a="1"/>
  <c r="Q21" i="16" s="1"/>
  <c r="Q18" i="16" a="1"/>
  <c r="Q18" i="16" s="1"/>
  <c r="Q22" i="16" a="1"/>
  <c r="Q22" i="16" s="1"/>
  <c r="Q15" i="16" a="1"/>
  <c r="Q15" i="16" s="1"/>
  <c r="Q23" i="16" a="1"/>
  <c r="Q23" i="16" s="1"/>
  <c r="Q24" i="16" a="1"/>
  <c r="Q24" i="16" s="1"/>
  <c r="Q25" i="16" a="1"/>
  <c r="Q25" i="16" s="1"/>
  <c r="AC25" i="16" s="1"/>
  <c r="Q17" i="16" a="1"/>
  <c r="Q17" i="16" s="1"/>
  <c r="Q26" i="16" a="1"/>
  <c r="Q26" i="16" s="1"/>
  <c r="AC26" i="16" s="1"/>
  <c r="Q14" i="16" a="1"/>
  <c r="Q14" i="16" s="1"/>
  <c r="AC14" i="16" s="1"/>
  <c r="P7" i="16" a="1"/>
  <c r="P7" i="16" s="1"/>
  <c r="AB7" i="16" s="1"/>
  <c r="S9" i="16" a="1"/>
  <c r="S9" i="16" s="1"/>
  <c r="AE9" i="16" s="1"/>
  <c r="L11" i="16" a="1"/>
  <c r="L11" i="16" s="1"/>
  <c r="R12" i="16" a="1"/>
  <c r="R12" i="16" s="1"/>
  <c r="AD12" i="16" s="1"/>
  <c r="L15" i="16" a="1"/>
  <c r="L15" i="16" s="1"/>
  <c r="M22" i="16" a="1"/>
  <c r="M22" i="16" s="1"/>
  <c r="M23" i="16" a="1"/>
  <c r="M23" i="16" s="1"/>
  <c r="M24" i="16" a="1"/>
  <c r="M24" i="16" s="1"/>
  <c r="M25" i="16" a="1"/>
  <c r="M25" i="16" s="1"/>
  <c r="M26" i="16" a="1"/>
  <c r="M26" i="16" s="1"/>
  <c r="M16" i="16" a="1"/>
  <c r="M16" i="16" s="1"/>
  <c r="M19" i="16" a="1"/>
  <c r="M19" i="16" s="1"/>
  <c r="M20" i="16" a="1"/>
  <c r="M20" i="16" s="1"/>
  <c r="Y20" i="16" s="1"/>
  <c r="M21" i="16" a="1"/>
  <c r="M21" i="16" s="1"/>
  <c r="AC20" i="16"/>
  <c r="AC21" i="16"/>
  <c r="AC18" i="16"/>
  <c r="AC22" i="16"/>
  <c r="AC23" i="16"/>
  <c r="AC24" i="16"/>
  <c r="AC11" i="16"/>
  <c r="O26" i="16" a="1"/>
  <c r="O26" i="16" s="1"/>
  <c r="O16" i="16" a="1"/>
  <c r="O16" i="16" s="1"/>
  <c r="O19" i="16" a="1"/>
  <c r="O19" i="16" s="1"/>
  <c r="O21" i="16" a="1"/>
  <c r="O21" i="16" s="1"/>
  <c r="AA21" i="16" s="1"/>
  <c r="O18" i="16" a="1"/>
  <c r="O18" i="16" s="1"/>
  <c r="AA18" i="16" s="1"/>
  <c r="O22" i="16" a="1"/>
  <c r="O22" i="16" s="1"/>
  <c r="O15" i="16" a="1"/>
  <c r="O15" i="16" s="1"/>
  <c r="O23" i="16" a="1"/>
  <c r="O23" i="16" s="1"/>
  <c r="O24" i="16" a="1"/>
  <c r="O24" i="16" s="1"/>
  <c r="O25" i="16" a="1"/>
  <c r="O25" i="16" s="1"/>
  <c r="L10" i="16" a="1"/>
  <c r="L10" i="16" s="1"/>
  <c r="X10" i="16" s="1"/>
  <c r="R20" i="16" a="1"/>
  <c r="R20" i="16" s="1"/>
  <c r="R21" i="16" a="1"/>
  <c r="R21" i="16" s="1"/>
  <c r="AD21" i="16" s="1"/>
  <c r="R18" i="16" a="1"/>
  <c r="R18" i="16" s="1"/>
  <c r="R22" i="16" a="1"/>
  <c r="R22" i="16" s="1"/>
  <c r="R15" i="16" a="1"/>
  <c r="R15" i="16" s="1"/>
  <c r="R23" i="16" a="1"/>
  <c r="R23" i="16" s="1"/>
  <c r="R24" i="16" a="1"/>
  <c r="R24" i="16" s="1"/>
  <c r="R25" i="16" a="1"/>
  <c r="R25" i="16" s="1"/>
  <c r="R26" i="16" a="1"/>
  <c r="R26" i="16" s="1"/>
  <c r="R16" i="16" a="1"/>
  <c r="R16" i="16" s="1"/>
  <c r="AD16" i="16" s="1"/>
  <c r="R19" i="16" a="1"/>
  <c r="R19" i="16" s="1"/>
  <c r="AA7" i="16"/>
  <c r="M9" i="16" a="1"/>
  <c r="M9" i="16" s="1"/>
  <c r="Y9" i="16" s="1"/>
  <c r="S10" i="16" a="1"/>
  <c r="S10" i="16" s="1"/>
  <c r="AE10" i="16" s="1"/>
  <c r="L12" i="16" a="1"/>
  <c r="L12" i="16" s="1"/>
  <c r="X12" i="16" s="1"/>
  <c r="R13" i="16" a="1"/>
  <c r="R13" i="16" s="1"/>
  <c r="AD13" i="16" s="1"/>
  <c r="AC17" i="16"/>
  <c r="S22" i="16" a="1"/>
  <c r="S22" i="16" s="1"/>
  <c r="AE22" i="16" s="1"/>
  <c r="S23" i="16" a="1"/>
  <c r="S23" i="16" s="1"/>
  <c r="AE23" i="16" s="1"/>
  <c r="S24" i="16" a="1"/>
  <c r="S24" i="16" s="1"/>
  <c r="AE24" i="16" s="1"/>
  <c r="S25" i="16" a="1"/>
  <c r="S25" i="16" s="1"/>
  <c r="AE25" i="16" s="1"/>
  <c r="S26" i="16" a="1"/>
  <c r="S26" i="16" s="1"/>
  <c r="AE26" i="16" s="1"/>
  <c r="S16" i="16" a="1"/>
  <c r="S16" i="16" s="1"/>
  <c r="S19" i="16" a="1"/>
  <c r="S19" i="16" s="1"/>
  <c r="AE19" i="16" s="1"/>
  <c r="S20" i="16" a="1"/>
  <c r="S20" i="16" s="1"/>
  <c r="AE20" i="16" s="1"/>
  <c r="S21" i="16" a="1"/>
  <c r="S21" i="16" s="1"/>
  <c r="AE21" i="16" s="1"/>
  <c r="Q7" i="16" a="1"/>
  <c r="Q7" i="16" s="1"/>
  <c r="AC7" i="16" s="1"/>
  <c r="M10" i="16" a="1"/>
  <c r="M10" i="16" s="1"/>
  <c r="Y10" i="16" s="1"/>
  <c r="S12" i="16" a="1"/>
  <c r="S12" i="16" s="1"/>
  <c r="AE12" i="16" s="1"/>
  <c r="L14" i="16" a="1"/>
  <c r="L14" i="16" s="1"/>
  <c r="S14" i="16" a="1"/>
  <c r="S14" i="16" s="1"/>
  <c r="AE14" i="16" s="1"/>
  <c r="M15" i="16" a="1"/>
  <c r="M15" i="16" s="1"/>
  <c r="Y15" i="16" s="1"/>
  <c r="S18" i="16" a="1"/>
  <c r="S18" i="16" s="1"/>
  <c r="AE18" i="16" s="1"/>
  <c r="AC19" i="16"/>
  <c r="AC12" i="16"/>
  <c r="P16" i="16" a="1"/>
  <c r="P16" i="16" s="1"/>
  <c r="AB16" i="16" s="1"/>
  <c r="P19" i="16" a="1"/>
  <c r="P19" i="16" s="1"/>
  <c r="AB19" i="16" s="1"/>
  <c r="P20" i="16" a="1"/>
  <c r="P20" i="16" s="1"/>
  <c r="AB20" i="16" s="1"/>
  <c r="P21" i="16" a="1"/>
  <c r="P21" i="16" s="1"/>
  <c r="AB21" i="16" s="1"/>
  <c r="P22" i="16" a="1"/>
  <c r="P22" i="16" s="1"/>
  <c r="AB22" i="16" s="1"/>
  <c r="P23" i="16" a="1"/>
  <c r="P23" i="16" s="1"/>
  <c r="AB23" i="16" s="1"/>
  <c r="P24" i="16" a="1"/>
  <c r="P24" i="16" s="1"/>
  <c r="AB24" i="16" s="1"/>
  <c r="P25" i="16" a="1"/>
  <c r="P25" i="16" s="1"/>
  <c r="AB25" i="16" s="1"/>
  <c r="P17" i="16" a="1"/>
  <c r="P17" i="16" s="1"/>
  <c r="AB17" i="16" s="1"/>
  <c r="P26" i="16" a="1"/>
  <c r="P26" i="16" s="1"/>
  <c r="AB26" i="16" s="1"/>
  <c r="AF6" i="16"/>
  <c r="O8" i="16" a="1"/>
  <c r="O8" i="16" s="1"/>
  <c r="AA8" i="16" s="1"/>
  <c r="M11" i="16" a="1"/>
  <c r="M11" i="16" s="1"/>
  <c r="Y11" i="16" s="1"/>
  <c r="L13" i="16" a="1"/>
  <c r="L13" i="16" s="1"/>
  <c r="X13" i="16" s="1"/>
  <c r="X15" i="16"/>
  <c r="Y8" i="16"/>
  <c r="N9" i="16" a="1"/>
  <c r="N9" i="16" s="1"/>
  <c r="Z9" i="16" s="1"/>
  <c r="N10" i="16" a="1"/>
  <c r="N10" i="16" s="1"/>
  <c r="Z10" i="16" s="1"/>
  <c r="M12" i="16" a="1"/>
  <c r="M12" i="16" s="1"/>
  <c r="Y12" i="16" s="1"/>
  <c r="S13" i="16" a="1"/>
  <c r="S13" i="16" s="1"/>
  <c r="AE13" i="16" s="1"/>
  <c r="AA15" i="16"/>
  <c r="Y16" i="16"/>
  <c r="P8" i="16" a="1"/>
  <c r="P8" i="16" s="1"/>
  <c r="AB8" i="16" s="1"/>
  <c r="M13" i="16" a="1"/>
  <c r="M13" i="16" s="1"/>
  <c r="M14" i="16" a="1"/>
  <c r="M14" i="16" s="1"/>
  <c r="N15" i="16" a="1"/>
  <c r="N15" i="16" s="1"/>
  <c r="Z15" i="16" s="1"/>
  <c r="AC15" i="16"/>
  <c r="L16" i="16" a="1"/>
  <c r="L16" i="16" s="1"/>
  <c r="X16" i="16" s="1"/>
  <c r="AA16" i="16"/>
  <c r="O20" i="16" a="1"/>
  <c r="O20" i="16" s="1"/>
  <c r="AA20" i="16" s="1"/>
  <c r="Y19" i="16"/>
  <c r="Y22" i="16"/>
  <c r="Y23" i="16"/>
  <c r="Y24" i="16"/>
  <c r="Y25" i="16"/>
  <c r="Y26" i="16"/>
  <c r="N11" i="16" a="1"/>
  <c r="N11" i="16" s="1"/>
  <c r="Z11" i="16" s="1"/>
  <c r="Z16" i="16"/>
  <c r="AE7" i="16"/>
  <c r="O9" i="16" a="1"/>
  <c r="O9" i="16" s="1"/>
  <c r="AA9" i="16" s="1"/>
  <c r="O10" i="16" a="1"/>
  <c r="O10" i="16" s="1"/>
  <c r="AA10" i="16" s="1"/>
  <c r="X11" i="16"/>
  <c r="N12" i="16" a="1"/>
  <c r="N12" i="16" s="1"/>
  <c r="Z12" i="16" s="1"/>
  <c r="N13" i="16" a="1"/>
  <c r="N13" i="16" s="1"/>
  <c r="Z13" i="16" s="1"/>
  <c r="M17" i="16" a="1"/>
  <c r="M17" i="16" s="1"/>
  <c r="Y17" i="16" s="1"/>
  <c r="Q8" i="16" a="1"/>
  <c r="Q8" i="16" s="1"/>
  <c r="AC8" i="16" s="1"/>
  <c r="P9" i="16" a="1"/>
  <c r="P9" i="16" s="1"/>
  <c r="AB9" i="16" s="1"/>
  <c r="O11" i="16" a="1"/>
  <c r="O11" i="16" s="1"/>
  <c r="AA11" i="16" s="1"/>
  <c r="N14" i="16" a="1"/>
  <c r="N14" i="16" s="1"/>
  <c r="Z14" i="16" s="1"/>
  <c r="X14" i="16"/>
  <c r="P15" i="16" a="1"/>
  <c r="P15" i="16" s="1"/>
  <c r="AB15" i="16" s="1"/>
  <c r="AA19" i="16"/>
  <c r="AA22" i="16"/>
  <c r="AA23" i="16"/>
  <c r="AA24" i="16"/>
  <c r="AA25" i="16"/>
  <c r="AA26" i="16"/>
  <c r="M7" i="16" a="1"/>
  <c r="M7" i="16" s="1"/>
  <c r="Y7" i="16" s="1"/>
  <c r="L20" i="16" a="1"/>
  <c r="L20" i="16" s="1"/>
  <c r="X20" i="16" s="1"/>
  <c r="L21" i="16" a="1"/>
  <c r="L21" i="16" s="1"/>
  <c r="X21" i="16" s="1"/>
  <c r="L18" i="16" a="1"/>
  <c r="L18" i="16" s="1"/>
  <c r="X18" i="16" s="1"/>
  <c r="L22" i="16" a="1"/>
  <c r="L22" i="16" s="1"/>
  <c r="X22" i="16" s="1"/>
  <c r="L23" i="16" a="1"/>
  <c r="L23" i="16" s="1"/>
  <c r="X23" i="16" s="1"/>
  <c r="L24" i="16" a="1"/>
  <c r="L24" i="16" s="1"/>
  <c r="X24" i="16" s="1"/>
  <c r="L25" i="16" a="1"/>
  <c r="L25" i="16" s="1"/>
  <c r="X25" i="16" s="1"/>
  <c r="L26" i="16" a="1"/>
  <c r="L26" i="16" s="1"/>
  <c r="X26" i="16" s="1"/>
  <c r="AB18" i="16"/>
  <c r="P10" i="16" a="1"/>
  <c r="P10" i="16" s="1"/>
  <c r="AB10" i="16" s="1"/>
  <c r="O12" i="16" a="1"/>
  <c r="O12" i="16" s="1"/>
  <c r="AA12" i="16" s="1"/>
  <c r="O13" i="16" a="1"/>
  <c r="O13" i="16" s="1"/>
  <c r="AA13" i="16" s="1"/>
  <c r="Y13" i="16"/>
  <c r="Y14" i="16"/>
  <c r="AE16" i="16"/>
  <c r="O17" i="16" a="1"/>
  <c r="O17" i="16" s="1"/>
  <c r="AA17" i="16" s="1"/>
  <c r="P11" i="16" a="1"/>
  <c r="P11" i="16" s="1"/>
  <c r="AB11" i="16" s="1"/>
  <c r="P12" i="16" a="1"/>
  <c r="P12" i="16" s="1"/>
  <c r="AB12" i="16" s="1"/>
  <c r="O14" i="16" a="1"/>
  <c r="O14" i="16" s="1"/>
  <c r="AA14" i="16" s="1"/>
  <c r="Y21" i="16"/>
  <c r="Q9" i="16" a="1"/>
  <c r="Q9" i="16" s="1"/>
  <c r="AC9" i="16" s="1"/>
  <c r="N24" i="16" a="1"/>
  <c r="N24" i="16" s="1"/>
  <c r="Z24" i="16" s="1"/>
  <c r="N25" i="16" a="1"/>
  <c r="N25" i="16" s="1"/>
  <c r="Z25" i="16" s="1"/>
  <c r="N17" i="16" a="1"/>
  <c r="N17" i="16" s="1"/>
  <c r="Z17" i="16" s="1"/>
  <c r="N26" i="16" a="1"/>
  <c r="N26" i="16" s="1"/>
  <c r="Z26" i="16" s="1"/>
  <c r="N19" i="16" a="1"/>
  <c r="N19" i="16" s="1"/>
  <c r="Z19" i="16" s="1"/>
  <c r="N20" i="16" a="1"/>
  <c r="N20" i="16" s="1"/>
  <c r="Z20" i="16" s="1"/>
  <c r="N21" i="16" a="1"/>
  <c r="N21" i="16" s="1"/>
  <c r="Z21" i="16" s="1"/>
  <c r="N18" i="16" a="1"/>
  <c r="N18" i="16" s="1"/>
  <c r="Z18" i="16" s="1"/>
  <c r="N22" i="16" a="1"/>
  <c r="N22" i="16" s="1"/>
  <c r="Z22" i="16" s="1"/>
  <c r="N23" i="16" a="1"/>
  <c r="N23" i="16" s="1"/>
  <c r="Z23" i="16" s="1"/>
  <c r="AD20" i="16"/>
  <c r="AD18" i="16"/>
  <c r="AD22" i="16"/>
  <c r="AD15" i="16"/>
  <c r="AD23" i="16"/>
  <c r="AD24" i="16"/>
  <c r="AD25" i="16"/>
  <c r="AD26" i="16"/>
  <c r="AD19" i="16"/>
  <c r="AE8" i="16"/>
  <c r="Q10" i="16" a="1"/>
  <c r="Q10" i="16" s="1"/>
  <c r="AC10" i="16" s="1"/>
  <c r="P13" i="16" a="1"/>
  <c r="P13" i="16" s="1"/>
  <c r="AB13" i="16" s="1"/>
  <c r="R17" i="16" a="1"/>
  <c r="R17" i="16" s="1"/>
  <c r="AD17" i="16" s="1"/>
  <c r="P14" i="16" a="1"/>
  <c r="P14" i="16" s="1"/>
  <c r="AB14" i="16" s="1"/>
  <c r="AD14" i="16"/>
  <c r="S15" i="16" a="1"/>
  <c r="S15" i="16" s="1"/>
  <c r="AE15" i="16" s="1"/>
  <c r="Q16" i="16" a="1"/>
  <c r="Q16" i="16" s="1"/>
  <c r="AC16" i="16" s="1"/>
  <c r="S17" i="16" a="1"/>
  <c r="S17" i="16" s="1"/>
  <c r="AE17" i="16" s="1"/>
  <c r="M18" i="16" a="1"/>
  <c r="M18" i="16" s="1"/>
  <c r="Y18" i="16" s="1"/>
  <c r="L19" i="16" a="1"/>
  <c r="L19" i="16" s="1"/>
  <c r="X19" i="16" s="1"/>
  <c r="F4" i="17"/>
  <c r="K7" i="16" s="1" a="1"/>
  <c r="K7" i="16" s="1"/>
  <c r="W7" i="16" s="1"/>
  <c r="F24" i="17"/>
  <c r="F44" i="17"/>
  <c r="V7" i="16" s="1"/>
  <c r="F64" i="17"/>
  <c r="F84" i="17"/>
  <c r="F104" i="17"/>
  <c r="C5" i="17"/>
  <c r="F5" i="17" s="1"/>
  <c r="K8" i="16" s="1" a="1"/>
  <c r="K8" i="16" s="1"/>
  <c r="W8" i="16" s="1"/>
  <c r="C25" i="17"/>
  <c r="F25" i="17" s="1"/>
  <c r="C45" i="17"/>
  <c r="C65" i="17"/>
  <c r="C85" i="17"/>
  <c r="C86" i="17" s="1"/>
  <c r="C105" i="17"/>
  <c r="E45" i="17"/>
  <c r="E65" i="17"/>
  <c r="E85" i="17"/>
  <c r="E105" i="17"/>
  <c r="C26" i="17"/>
  <c r="F26" i="17" s="1"/>
  <c r="C46" i="17"/>
  <c r="F46" i="17" s="1"/>
  <c r="J9" i="16" s="1" a="1"/>
  <c r="J9" i="16" s="1"/>
  <c r="V9" i="16" s="1"/>
  <c r="E6" i="17"/>
  <c r="E7" i="17" s="1"/>
  <c r="E8" i="17" s="1"/>
  <c r="E9" i="17" s="1"/>
  <c r="E10" i="17" s="1"/>
  <c r="E11" i="17" s="1"/>
  <c r="E12" i="17" s="1"/>
  <c r="E13" i="17" s="1"/>
  <c r="E14" i="17" s="1"/>
  <c r="E15" i="17" s="1"/>
  <c r="E16" i="17" s="1"/>
  <c r="E17" i="17" s="1"/>
  <c r="E18" i="17" s="1"/>
  <c r="E19" i="17" s="1"/>
  <c r="E20" i="17" s="1"/>
  <c r="E21" i="17" s="1"/>
  <c r="E22" i="17" s="1"/>
  <c r="E23" i="17" s="1"/>
  <c r="E26" i="17"/>
  <c r="E46" i="17"/>
  <c r="E47" i="17" s="1"/>
  <c r="E48" i="17" s="1"/>
  <c r="E49" i="17" s="1"/>
  <c r="E50" i="17" s="1"/>
  <c r="E51" i="17" s="1"/>
  <c r="E52" i="17" s="1"/>
  <c r="E53" i="17" s="1"/>
  <c r="E54" i="17" s="1"/>
  <c r="E55" i="17" s="1"/>
  <c r="E56" i="17" s="1"/>
  <c r="E57" i="17" s="1"/>
  <c r="E58" i="17" s="1"/>
  <c r="E59" i="17" s="1"/>
  <c r="E60" i="17" s="1"/>
  <c r="E61" i="17" s="1"/>
  <c r="E62" i="17" s="1"/>
  <c r="E63" i="17" s="1"/>
  <c r="E66" i="17"/>
  <c r="E67" i="17" s="1"/>
  <c r="E68" i="17" s="1"/>
  <c r="E69" i="17" s="1"/>
  <c r="E70" i="17" s="1"/>
  <c r="E71" i="17" s="1"/>
  <c r="E72" i="17" s="1"/>
  <c r="E73" i="17" s="1"/>
  <c r="E74" i="17" s="1"/>
  <c r="E75" i="17" s="1"/>
  <c r="E76" i="17" s="1"/>
  <c r="E77" i="17" s="1"/>
  <c r="E78" i="17" s="1"/>
  <c r="E79" i="17" s="1"/>
  <c r="E80" i="17" s="1"/>
  <c r="E81" i="17" s="1"/>
  <c r="E82" i="17" s="1"/>
  <c r="E83" i="17" s="1"/>
  <c r="E86" i="17"/>
  <c r="E106" i="17"/>
  <c r="E107" i="17" s="1"/>
  <c r="E108" i="17" s="1"/>
  <c r="E109" i="17" s="1"/>
  <c r="E110" i="17" s="1"/>
  <c r="E111" i="17" s="1"/>
  <c r="E112" i="17" s="1"/>
  <c r="E113" i="17" s="1"/>
  <c r="E114" i="17" s="1"/>
  <c r="E115" i="17" s="1"/>
  <c r="E116" i="17" s="1"/>
  <c r="E117" i="17" s="1"/>
  <c r="E118" i="17" s="1"/>
  <c r="E119" i="17" s="1"/>
  <c r="E120" i="17" s="1"/>
  <c r="E121" i="17" s="1"/>
  <c r="E122" i="17" s="1"/>
  <c r="E123" i="17" s="1"/>
  <c r="E27" i="17"/>
  <c r="E28" i="17" s="1"/>
  <c r="E29" i="17" s="1"/>
  <c r="E30" i="17" s="1"/>
  <c r="E31" i="17" s="1"/>
  <c r="E32" i="17" s="1"/>
  <c r="E33" i="17" s="1"/>
  <c r="E34" i="17" s="1"/>
  <c r="E35" i="17" s="1"/>
  <c r="E36" i="17" s="1"/>
  <c r="E37" i="17" s="1"/>
  <c r="E38" i="17" s="1"/>
  <c r="E39" i="17" s="1"/>
  <c r="E40" i="17" s="1"/>
  <c r="E41" i="17" s="1"/>
  <c r="E42" i="17" s="1"/>
  <c r="E43" i="17" s="1"/>
  <c r="E87" i="17"/>
  <c r="E88" i="17" s="1"/>
  <c r="E89" i="17" s="1"/>
  <c r="E90" i="17" s="1"/>
  <c r="E91" i="17" s="1"/>
  <c r="E92" i="17" s="1"/>
  <c r="E93" i="17" s="1"/>
  <c r="E94" i="17" s="1"/>
  <c r="E95" i="17" s="1"/>
  <c r="E96" i="17" s="1"/>
  <c r="E97" i="17" s="1"/>
  <c r="E98" i="17" s="1"/>
  <c r="E99" i="17" s="1"/>
  <c r="E100" i="17" s="1"/>
  <c r="E101" i="17" s="1"/>
  <c r="E102" i="17" s="1"/>
  <c r="E103" i="17" s="1"/>
  <c r="E113" i="12"/>
  <c r="B32" i="13" s="1"/>
  <c r="E112" i="12"/>
  <c r="B31" i="13" s="1"/>
  <c r="D43" i="12"/>
  <c r="D66" i="12" s="1"/>
  <c r="E211" i="11"/>
  <c r="E205" i="11"/>
  <c r="E207" i="11"/>
  <c r="E203" i="11"/>
  <c r="E214" i="11"/>
  <c r="E209" i="11"/>
  <c r="E204" i="11"/>
  <c r="E201" i="11"/>
  <c r="E202" i="11"/>
  <c r="E208" i="11"/>
  <c r="E206" i="11"/>
  <c r="D110" i="11"/>
  <c r="D109" i="11"/>
  <c r="D108" i="11"/>
  <c r="D114" i="11"/>
  <c r="D112" i="11"/>
  <c r="D111" i="11"/>
  <c r="F50" i="11"/>
  <c r="AO44" i="9" a="1"/>
  <c r="AO44" i="9" s="1"/>
  <c r="AO9" i="9"/>
  <c r="V6" i="9"/>
  <c r="V7" i="9"/>
  <c r="V8" i="9"/>
  <c r="V9" i="9"/>
  <c r="V10" i="9"/>
  <c r="V11" i="9"/>
  <c r="V12" i="9"/>
  <c r="V13" i="9"/>
  <c r="V14" i="9"/>
  <c r="AQ18" i="9"/>
  <c r="AQ19" i="9"/>
  <c r="AQ20" i="9"/>
  <c r="AQ21" i="9"/>
  <c r="AQ22" i="9"/>
  <c r="AQ23" i="9"/>
  <c r="AQ6" i="9"/>
  <c r="AQ7" i="9"/>
  <c r="AQ8" i="9"/>
  <c r="AQ9" i="9"/>
  <c r="AQ10" i="9"/>
  <c r="AQ11" i="9"/>
  <c r="AQ29" i="9"/>
  <c r="AQ17" i="9"/>
  <c r="AQ5" i="9"/>
  <c r="F115" i="12"/>
  <c r="F114" i="12" s="1"/>
  <c r="F113" i="12" s="1"/>
  <c r="B51" i="13"/>
  <c r="B52" i="13"/>
  <c r="B53" i="13"/>
  <c r="B54" i="13"/>
  <c r="B55" i="13"/>
  <c r="B56" i="13"/>
  <c r="B57" i="13"/>
  <c r="B58" i="13"/>
  <c r="B59" i="13"/>
  <c r="B60" i="13"/>
  <c r="B61" i="13"/>
  <c r="B62" i="13"/>
  <c r="B63" i="13"/>
  <c r="B64" i="13"/>
  <c r="B65" i="13"/>
  <c r="B66" i="13"/>
  <c r="B67" i="13"/>
  <c r="B68" i="13"/>
  <c r="B69" i="13"/>
  <c r="B70" i="13"/>
  <c r="B71" i="13"/>
  <c r="B72" i="13"/>
  <c r="B73" i="13"/>
  <c r="B89" i="13"/>
  <c r="B90" i="13"/>
  <c r="B91" i="13"/>
  <c r="B92" i="13"/>
  <c r="B93" i="13"/>
  <c r="B94" i="13"/>
  <c r="B95" i="13"/>
  <c r="B96" i="13"/>
  <c r="B97" i="13"/>
  <c r="B98" i="13"/>
  <c r="B99" i="13"/>
  <c r="B100" i="13"/>
  <c r="B101" i="13"/>
  <c r="B102" i="13"/>
  <c r="B103" i="13"/>
  <c r="B110" i="13"/>
  <c r="B111" i="13"/>
  <c r="B112" i="13"/>
  <c r="B113" i="13"/>
  <c r="B114" i="13"/>
  <c r="B115" i="13"/>
  <c r="B116" i="13"/>
  <c r="B117" i="13"/>
  <c r="B118" i="13"/>
  <c r="B119" i="13"/>
  <c r="B154" i="13"/>
  <c r="B155" i="13"/>
  <c r="B156" i="13"/>
  <c r="B157" i="13"/>
  <c r="B158" i="13"/>
  <c r="B159" i="13"/>
  <c r="B160" i="13"/>
  <c r="B161" i="13"/>
  <c r="B162" i="13"/>
  <c r="B163" i="13"/>
  <c r="B232" i="13"/>
  <c r="B233" i="13"/>
  <c r="B234" i="13"/>
  <c r="B235" i="13"/>
  <c r="B236" i="13"/>
  <c r="B237" i="13"/>
  <c r="B238" i="13"/>
  <c r="B239" i="13"/>
  <c r="B240" i="13"/>
  <c r="B241" i="13"/>
  <c r="B222" i="13"/>
  <c r="B223" i="13"/>
  <c r="B224" i="13"/>
  <c r="B225" i="13"/>
  <c r="B226" i="13"/>
  <c r="B227" i="13"/>
  <c r="B228" i="13"/>
  <c r="B229" i="13"/>
  <c r="B230" i="13"/>
  <c r="B23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50" i="13"/>
  <c r="F116" i="12"/>
  <c r="F104" i="12"/>
  <c r="F103" i="12"/>
  <c r="D121" i="12"/>
  <c r="C121" i="12"/>
  <c r="B121" i="12"/>
  <c r="D120" i="12"/>
  <c r="C120" i="12"/>
  <c r="B120" i="12"/>
  <c r="D119" i="12"/>
  <c r="C119" i="12"/>
  <c r="B119" i="12"/>
  <c r="D118" i="12"/>
  <c r="C118" i="12"/>
  <c r="B118" i="12"/>
  <c r="D117" i="12"/>
  <c r="C117" i="12"/>
  <c r="B117" i="12"/>
  <c r="D116" i="12"/>
  <c r="C116" i="12"/>
  <c r="B116" i="12"/>
  <c r="D115" i="12"/>
  <c r="C115" i="12"/>
  <c r="B115" i="12"/>
  <c r="D114" i="12"/>
  <c r="C114" i="12"/>
  <c r="B114" i="12"/>
  <c r="D111" i="12"/>
  <c r="C111" i="12"/>
  <c r="B111" i="12"/>
  <c r="D110" i="12"/>
  <c r="C110" i="12"/>
  <c r="B110" i="12"/>
  <c r="B106" i="12"/>
  <c r="B107" i="12"/>
  <c r="C106" i="12"/>
  <c r="C107" i="12"/>
  <c r="D106" i="12"/>
  <c r="D107" i="12"/>
  <c r="D105" i="12"/>
  <c r="C105" i="12"/>
  <c r="B105" i="12"/>
  <c r="B103" i="12"/>
  <c r="B104" i="12"/>
  <c r="C103" i="12"/>
  <c r="C104" i="12"/>
  <c r="D103" i="12"/>
  <c r="D104" i="12"/>
  <c r="D102" i="12"/>
  <c r="C102" i="12"/>
  <c r="B102" i="12"/>
  <c r="B100" i="12"/>
  <c r="B101" i="12"/>
  <c r="C100" i="12"/>
  <c r="C101" i="12"/>
  <c r="D100" i="12"/>
  <c r="D101" i="12"/>
  <c r="D99" i="12"/>
  <c r="C99" i="12"/>
  <c r="B99" i="12"/>
  <c r="B97" i="12"/>
  <c r="B98" i="12"/>
  <c r="C97" i="12"/>
  <c r="C98" i="12"/>
  <c r="D97" i="12"/>
  <c r="D98" i="12"/>
  <c r="D96" i="12"/>
  <c r="C96" i="12"/>
  <c r="B96" i="12"/>
  <c r="B94" i="12"/>
  <c r="B95" i="12"/>
  <c r="C94" i="12"/>
  <c r="C95" i="12"/>
  <c r="D94" i="12"/>
  <c r="D95" i="12"/>
  <c r="D93" i="12"/>
  <c r="C93" i="12"/>
  <c r="B93" i="12"/>
  <c r="F292" i="11"/>
  <c r="F276" i="11"/>
  <c r="F244" i="11"/>
  <c r="F242" i="11"/>
  <c r="F284" i="11"/>
  <c r="F268" i="11"/>
  <c r="F236"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199" i="11"/>
  <c r="D200" i="11"/>
  <c r="D198" i="11"/>
  <c r="D196" i="11"/>
  <c r="D197" i="11"/>
  <c r="D195" i="11"/>
  <c r="D193" i="11"/>
  <c r="D194" i="11"/>
  <c r="D192" i="11"/>
  <c r="D190" i="11"/>
  <c r="D191" i="11"/>
  <c r="D189" i="11"/>
  <c r="D187" i="11"/>
  <c r="D188" i="11"/>
  <c r="D186" i="11"/>
  <c r="D184" i="11"/>
  <c r="D185" i="11"/>
  <c r="D183" i="11"/>
  <c r="D181" i="11"/>
  <c r="D182" i="11"/>
  <c r="D180" i="11"/>
  <c r="D178" i="11"/>
  <c r="D179" i="11"/>
  <c r="D177" i="11"/>
  <c r="D175" i="11"/>
  <c r="D176" i="11"/>
  <c r="D174" i="11"/>
  <c r="D172" i="11"/>
  <c r="D173" i="11"/>
  <c r="D171" i="11"/>
  <c r="C171" i="11"/>
  <c r="B171" i="11"/>
  <c r="F193" i="10"/>
  <c r="F211" i="10"/>
  <c r="F221" i="10" s="1"/>
  <c r="F209" i="10"/>
  <c r="F219" i="10" s="1"/>
  <c r="F207" i="10"/>
  <c r="F217" i="10" s="1"/>
  <c r="F185" i="10"/>
  <c r="F200" i="11"/>
  <c r="F199" i="11"/>
  <c r="F197" i="11"/>
  <c r="F196" i="11"/>
  <c r="F194" i="11"/>
  <c r="F193" i="11"/>
  <c r="F191" i="11"/>
  <c r="F188" i="11" s="1"/>
  <c r="F190" i="11"/>
  <c r="F187" i="11" s="1"/>
  <c r="F168" i="10"/>
  <c r="F165" i="10"/>
  <c r="F162" i="10"/>
  <c r="F159" i="10"/>
  <c r="F158" i="10"/>
  <c r="F156" i="10"/>
  <c r="F153" i="10"/>
  <c r="F152" i="10"/>
  <c r="F150" i="10"/>
  <c r="F147" i="10"/>
  <c r="F146" i="10"/>
  <c r="B6" i="19" l="1"/>
  <c r="F86" i="17"/>
  <c r="C87" i="17"/>
  <c r="F65" i="17"/>
  <c r="C47" i="17"/>
  <c r="F105" i="17"/>
  <c r="C27" i="17"/>
  <c r="F45" i="17"/>
  <c r="J8" i="16" s="1" a="1"/>
  <c r="J8" i="16" s="1"/>
  <c r="V8" i="16" s="1"/>
  <c r="B7" i="19" s="1"/>
  <c r="F85" i="17"/>
  <c r="C106" i="17"/>
  <c r="C66" i="17"/>
  <c r="C6" i="17"/>
  <c r="Y14" i="9"/>
  <c r="AN38" i="9"/>
  <c r="Y13" i="9"/>
  <c r="AN37" i="9"/>
  <c r="Y12" i="9"/>
  <c r="AN36" i="9"/>
  <c r="Y11" i="9"/>
  <c r="AN35" i="9"/>
  <c r="Y10" i="9"/>
  <c r="AN34" i="9"/>
  <c r="Y9" i="9"/>
  <c r="AN33" i="9"/>
  <c r="Y8" i="9"/>
  <c r="AN32" i="9"/>
  <c r="Y7" i="9"/>
  <c r="AN31" i="9"/>
  <c r="Y6" i="9"/>
  <c r="AN30" i="9"/>
  <c r="P6" i="9"/>
  <c r="D13" i="14" s="1" a="1"/>
  <c r="D13" i="14" s="1"/>
  <c r="E100" i="12"/>
  <c r="B19" i="13" s="1"/>
  <c r="E94" i="12"/>
  <c r="B13" i="13" s="1"/>
  <c r="E116" i="12"/>
  <c r="B104" i="13" s="1"/>
  <c r="E121" i="12"/>
  <c r="B109" i="13" s="1"/>
  <c r="E101" i="12"/>
  <c r="B20" i="13" s="1"/>
  <c r="E103" i="12"/>
  <c r="B22" i="13" s="1"/>
  <c r="E118" i="12"/>
  <c r="B106" i="13" s="1"/>
  <c r="E96" i="12"/>
  <c r="B15" i="13" s="1"/>
  <c r="E110" i="12"/>
  <c r="B29" i="13" s="1"/>
  <c r="E119" i="12"/>
  <c r="B107" i="13" s="1"/>
  <c r="E93" i="12"/>
  <c r="B12" i="13" s="1"/>
  <c r="E98" i="12"/>
  <c r="B17" i="13" s="1"/>
  <c r="E106" i="12"/>
  <c r="B25" i="13" s="1"/>
  <c r="E111" i="12"/>
  <c r="B30" i="13" s="1"/>
  <c r="E117" i="12"/>
  <c r="B105" i="13" s="1"/>
  <c r="E99" i="12"/>
  <c r="B18" i="13" s="1"/>
  <c r="E97" i="12"/>
  <c r="B16" i="13" s="1"/>
  <c r="E95" i="12"/>
  <c r="B14" i="13" s="1"/>
  <c r="E114" i="12"/>
  <c r="B33" i="13" s="1"/>
  <c r="E115" i="12"/>
  <c r="B34" i="13" s="1"/>
  <c r="E107" i="12"/>
  <c r="B26" i="13" s="1"/>
  <c r="E104" i="12"/>
  <c r="B23" i="13" s="1"/>
  <c r="E105" i="12"/>
  <c r="B24" i="13" s="1"/>
  <c r="E102" i="12"/>
  <c r="B21" i="13" s="1"/>
  <c r="F238" i="11"/>
  <c r="E281" i="11"/>
  <c r="B212" i="13" s="1"/>
  <c r="F240" i="11"/>
  <c r="E292" i="11"/>
  <c r="B211" i="13" s="1"/>
  <c r="F254" i="11"/>
  <c r="E245" i="11"/>
  <c r="B176" i="13" s="1"/>
  <c r="E286" i="11"/>
  <c r="B217" i="13" s="1"/>
  <c r="F262" i="11"/>
  <c r="E279" i="11"/>
  <c r="B208" i="13" s="1"/>
  <c r="E285" i="11"/>
  <c r="B216" i="13" s="1"/>
  <c r="E284" i="11"/>
  <c r="B215" i="13" s="1"/>
  <c r="E280" i="11"/>
  <c r="B209" i="13" s="1"/>
  <c r="E265" i="11"/>
  <c r="B194" i="13" s="1"/>
  <c r="E271" i="11"/>
  <c r="B202" i="13" s="1"/>
  <c r="E290" i="11"/>
  <c r="B221" i="13" s="1"/>
  <c r="F246" i="11"/>
  <c r="F270" i="11"/>
  <c r="E178" i="11"/>
  <c r="B42" i="13" s="1"/>
  <c r="E186" i="11"/>
  <c r="B74" i="13" s="1"/>
  <c r="E196" i="11"/>
  <c r="B84" i="13" s="1"/>
  <c r="E217" i="11"/>
  <c r="B138" i="13" s="1"/>
  <c r="E215" i="11"/>
  <c r="B134" i="13" s="1"/>
  <c r="E232" i="11"/>
  <c r="B151" i="13" s="1"/>
  <c r="E237" i="11"/>
  <c r="B168" i="13" s="1"/>
  <c r="E235" i="11"/>
  <c r="B164" i="13" s="1"/>
  <c r="E246" i="11"/>
  <c r="B177" i="13" s="1"/>
  <c r="F230" i="11"/>
  <c r="F234" i="11" s="1"/>
  <c r="F248" i="11"/>
  <c r="F278" i="11"/>
  <c r="F164" i="10"/>
  <c r="F187" i="10"/>
  <c r="F205" i="10"/>
  <c r="F215" i="10" s="1"/>
  <c r="F149" i="10"/>
  <c r="F155" i="10"/>
  <c r="F161" i="10"/>
  <c r="F167" i="10"/>
  <c r="F213" i="10"/>
  <c r="F223" i="10" s="1"/>
  <c r="F189" i="10"/>
  <c r="F191" i="10"/>
  <c r="E176" i="11"/>
  <c r="B40" i="13" s="1"/>
  <c r="F286" i="11"/>
  <c r="E221" i="11"/>
  <c r="B142" i="13" s="1"/>
  <c r="E249" i="11"/>
  <c r="B178" i="13" s="1"/>
  <c r="E259" i="11"/>
  <c r="B190" i="13" s="1"/>
  <c r="E267" i="11"/>
  <c r="B198" i="13" s="1"/>
  <c r="E278" i="11"/>
  <c r="B197" i="13" s="1"/>
  <c r="E270" i="11"/>
  <c r="B201" i="13" s="1"/>
  <c r="E291" i="11"/>
  <c r="B210" i="13" s="1"/>
  <c r="E287" i="11"/>
  <c r="B218" i="13" s="1"/>
  <c r="E283" i="11"/>
  <c r="B214" i="13" s="1"/>
  <c r="F256" i="11"/>
  <c r="F264" i="11"/>
  <c r="F272" i="11"/>
  <c r="F280" i="11"/>
  <c r="F288" i="11"/>
  <c r="E256" i="11"/>
  <c r="B187" i="13" s="1"/>
  <c r="E276" i="11"/>
  <c r="B207" i="13" s="1"/>
  <c r="F250" i="11"/>
  <c r="F258" i="11"/>
  <c r="F266" i="11"/>
  <c r="F274" i="11"/>
  <c r="F282" i="11"/>
  <c r="F290" i="11"/>
  <c r="E174" i="11"/>
  <c r="B38" i="13" s="1"/>
  <c r="E185" i="11"/>
  <c r="B49" i="13" s="1"/>
  <c r="E173" i="11"/>
  <c r="B37" i="13" s="1"/>
  <c r="E199" i="11"/>
  <c r="B87" i="13" s="1"/>
  <c r="E193" i="11"/>
  <c r="B81" i="13" s="1"/>
  <c r="E189" i="11"/>
  <c r="B77" i="13" s="1"/>
  <c r="E200" i="11"/>
  <c r="B88" i="13" s="1"/>
  <c r="E220" i="11"/>
  <c r="B141" i="13" s="1"/>
  <c r="E224" i="11"/>
  <c r="B145" i="13" s="1"/>
  <c r="E226" i="11"/>
  <c r="B147" i="13" s="1"/>
  <c r="E227" i="11"/>
  <c r="B136" i="13" s="1"/>
  <c r="E223" i="11"/>
  <c r="B144" i="13" s="1"/>
  <c r="E219" i="11"/>
  <c r="B140" i="13" s="1"/>
  <c r="E229" i="11"/>
  <c r="B148" i="13" s="1"/>
  <c r="E230" i="11"/>
  <c r="B149" i="13" s="1"/>
  <c r="E234" i="11"/>
  <c r="B153" i="13" s="1"/>
  <c r="E236" i="11"/>
  <c r="B165" i="13" s="1"/>
  <c r="E244" i="11"/>
  <c r="B175" i="13" s="1"/>
  <c r="E248" i="11"/>
  <c r="B167" i="13" s="1"/>
  <c r="E243" i="11"/>
  <c r="B174" i="13" s="1"/>
  <c r="E239" i="11"/>
  <c r="B170" i="13" s="1"/>
  <c r="E275" i="11"/>
  <c r="B206" i="13" s="1"/>
  <c r="E288" i="11"/>
  <c r="B219" i="13" s="1"/>
  <c r="F252" i="11"/>
  <c r="F260" i="11"/>
  <c r="E289" i="11"/>
  <c r="B220" i="13" s="1"/>
  <c r="E282" i="11"/>
  <c r="B213" i="13" s="1"/>
  <c r="E181" i="11"/>
  <c r="B45" i="13" s="1"/>
  <c r="E197" i="11"/>
  <c r="B85" i="13" s="1"/>
  <c r="E172" i="11"/>
  <c r="B36" i="13" s="1"/>
  <c r="E188" i="11"/>
  <c r="B76" i="13" s="1"/>
  <c r="E222" i="11"/>
  <c r="B143" i="13" s="1"/>
  <c r="E218" i="11"/>
  <c r="B139" i="13" s="1"/>
  <c r="E242" i="11"/>
  <c r="B173" i="13" s="1"/>
  <c r="E261" i="11"/>
  <c r="B180" i="13" s="1"/>
  <c r="E253" i="11"/>
  <c r="B184" i="13" s="1"/>
  <c r="E266" i="11"/>
  <c r="B195" i="13" s="1"/>
  <c r="E274" i="11"/>
  <c r="B205" i="13" s="1"/>
  <c r="E273" i="11"/>
  <c r="B204" i="13" s="1"/>
  <c r="E269" i="11"/>
  <c r="B200" i="13" s="1"/>
  <c r="E263" i="11"/>
  <c r="B192" i="13" s="1"/>
  <c r="E250" i="11"/>
  <c r="B179" i="13" s="1"/>
  <c r="E262" i="11"/>
  <c r="B181" i="13" s="1"/>
  <c r="E272" i="11"/>
  <c r="B203" i="13" s="1"/>
  <c r="E277" i="11"/>
  <c r="B196" i="13" s="1"/>
  <c r="E268" i="11"/>
  <c r="B199" i="13" s="1"/>
  <c r="E264" i="11"/>
  <c r="B193" i="13" s="1"/>
  <c r="E257" i="11"/>
  <c r="B188" i="13" s="1"/>
  <c r="E260" i="11"/>
  <c r="B191" i="13" s="1"/>
  <c r="E258" i="11"/>
  <c r="B189" i="13" s="1"/>
  <c r="E255" i="11"/>
  <c r="B186" i="13" s="1"/>
  <c r="E254" i="11"/>
  <c r="B185" i="13" s="1"/>
  <c r="E252" i="11"/>
  <c r="B183" i="13" s="1"/>
  <c r="E251" i="11"/>
  <c r="B182" i="13" s="1"/>
  <c r="E179" i="11"/>
  <c r="B43" i="13" s="1"/>
  <c r="E175" i="11"/>
  <c r="B39" i="13" s="1"/>
  <c r="E183" i="11"/>
  <c r="B47" i="13" s="1"/>
  <c r="E228" i="11"/>
  <c r="B137" i="13" s="1"/>
  <c r="E238" i="11"/>
  <c r="E187" i="11"/>
  <c r="B75" i="13" s="1"/>
  <c r="E182" i="11"/>
  <c r="B46" i="13" s="1"/>
  <c r="E184" i="11"/>
  <c r="B48" i="13" s="1"/>
  <c r="E180" i="11"/>
  <c r="B44" i="13" s="1"/>
  <c r="E194" i="11"/>
  <c r="B82" i="13" s="1"/>
  <c r="E190" i="11"/>
  <c r="B78" i="13" s="1"/>
  <c r="E247" i="11"/>
  <c r="B166" i="13" s="1"/>
  <c r="E241" i="11"/>
  <c r="B172" i="13" s="1"/>
  <c r="E240" i="11"/>
  <c r="B171" i="13" s="1"/>
  <c r="E233" i="11"/>
  <c r="B152" i="13" s="1"/>
  <c r="E231" i="11"/>
  <c r="B150" i="13" s="1"/>
  <c r="E225" i="11"/>
  <c r="B146" i="13" s="1"/>
  <c r="E216" i="11"/>
  <c r="B135" i="13" s="1"/>
  <c r="E195" i="11"/>
  <c r="B83" i="13" s="1"/>
  <c r="E192" i="11"/>
  <c r="B80" i="13" s="1"/>
  <c r="E191" i="11"/>
  <c r="B79" i="13" s="1"/>
  <c r="E198" i="11"/>
  <c r="B86" i="13" s="1"/>
  <c r="E177" i="11"/>
  <c r="B41" i="13" s="1"/>
  <c r="E171" i="11"/>
  <c r="B35" i="13" s="1"/>
  <c r="C3" i="14" l="1" a="1"/>
  <c r="C3" i="14" s="1"/>
  <c r="R7" i="19"/>
  <c r="D3" i="14" a="1"/>
  <c r="D3" i="14" s="1"/>
  <c r="F66" i="17"/>
  <c r="C67" i="17"/>
  <c r="F106" i="17"/>
  <c r="C107" i="17"/>
  <c r="F27" i="17"/>
  <c r="C28" i="17"/>
  <c r="F47" i="17"/>
  <c r="J10" i="16" s="1" a="1"/>
  <c r="J10" i="16" s="1"/>
  <c r="V10" i="16" s="1"/>
  <c r="C48" i="17"/>
  <c r="F87" i="17"/>
  <c r="C88" i="17"/>
  <c r="F6" i="17"/>
  <c r="K9" i="16" s="1" a="1"/>
  <c r="K9" i="16" s="1"/>
  <c r="W9" i="16" s="1"/>
  <c r="B8" i="19" s="1"/>
  <c r="C7" i="17"/>
  <c r="F232" i="11"/>
  <c r="AO61" i="9"/>
  <c r="AO65" i="9"/>
  <c r="AO64" i="9"/>
  <c r="AO60" i="9"/>
  <c r="AO58" i="9"/>
  <c r="AO57" i="9"/>
  <c r="AO22" i="9"/>
  <c r="AO21" i="9"/>
  <c r="B169" i="13"/>
  <c r="AO55" i="9"/>
  <c r="AO68" i="9"/>
  <c r="AO54" i="9"/>
  <c r="AO53" i="9"/>
  <c r="AO69" i="9"/>
  <c r="AO75" i="9"/>
  <c r="AO62" i="9"/>
  <c r="AO63" i="9"/>
  <c r="AO56" i="9"/>
  <c r="AO71" i="9"/>
  <c r="AO67" i="9"/>
  <c r="AO36" i="9"/>
  <c r="AO73" i="9"/>
  <c r="AO34" i="9"/>
  <c r="AO35" i="9"/>
  <c r="AO72" i="9"/>
  <c r="AO37" i="9"/>
  <c r="AO74" i="9"/>
  <c r="AO33" i="9"/>
  <c r="AO70" i="9"/>
  <c r="B248" i="10"/>
  <c r="B249" i="10"/>
  <c r="B250" i="10"/>
  <c r="B251" i="10"/>
  <c r="B252" i="10"/>
  <c r="B253" i="10"/>
  <c r="B254" i="10"/>
  <c r="B255" i="10"/>
  <c r="D254" i="10"/>
  <c r="D255" i="10"/>
  <c r="D253" i="10"/>
  <c r="D251" i="10"/>
  <c r="D252" i="10"/>
  <c r="D250" i="10"/>
  <c r="D248" i="10"/>
  <c r="D249" i="10"/>
  <c r="D247" i="10"/>
  <c r="C254" i="10"/>
  <c r="C255" i="10"/>
  <c r="C253" i="10"/>
  <c r="C251" i="10"/>
  <c r="C252" i="10"/>
  <c r="C250" i="10"/>
  <c r="C248" i="10"/>
  <c r="C249" i="10"/>
  <c r="C247" i="10"/>
  <c r="B247" i="10"/>
  <c r="B240" i="10"/>
  <c r="B241" i="10"/>
  <c r="B242" i="10"/>
  <c r="B243" i="10"/>
  <c r="B244" i="10"/>
  <c r="B245" i="10"/>
  <c r="B246" i="10"/>
  <c r="D246" i="10"/>
  <c r="D245" i="10"/>
  <c r="D244" i="10"/>
  <c r="D243" i="10"/>
  <c r="D242" i="10"/>
  <c r="D241" i="10"/>
  <c r="D240" i="10"/>
  <c r="D239" i="10"/>
  <c r="C246" i="10"/>
  <c r="C245" i="10"/>
  <c r="C244" i="10"/>
  <c r="C243" i="10"/>
  <c r="C242" i="10"/>
  <c r="C241" i="10"/>
  <c r="C240" i="10"/>
  <c r="C239" i="10"/>
  <c r="B239" i="10"/>
  <c r="D237" i="10"/>
  <c r="D238" i="10"/>
  <c r="D236" i="10"/>
  <c r="D234" i="10"/>
  <c r="D235" i="10"/>
  <c r="D233" i="10"/>
  <c r="D231" i="10"/>
  <c r="D232" i="10"/>
  <c r="D230" i="10"/>
  <c r="D228" i="10"/>
  <c r="D229" i="10"/>
  <c r="D227" i="10"/>
  <c r="D225" i="10"/>
  <c r="D226" i="10"/>
  <c r="D224" i="10"/>
  <c r="B225" i="10"/>
  <c r="B226" i="10"/>
  <c r="B227" i="10"/>
  <c r="B228" i="10"/>
  <c r="B229" i="10"/>
  <c r="B230" i="10"/>
  <c r="B231" i="10"/>
  <c r="B232" i="10"/>
  <c r="B233" i="10"/>
  <c r="B234" i="10"/>
  <c r="B235" i="10"/>
  <c r="B236" i="10"/>
  <c r="B237" i="10"/>
  <c r="B238" i="10"/>
  <c r="C237" i="10"/>
  <c r="C238" i="10"/>
  <c r="C236" i="10"/>
  <c r="C234" i="10"/>
  <c r="C235" i="10"/>
  <c r="C233" i="10"/>
  <c r="C231" i="10"/>
  <c r="C232" i="10"/>
  <c r="C230" i="10"/>
  <c r="C228" i="10"/>
  <c r="C229" i="10"/>
  <c r="C227" i="10"/>
  <c r="C225" i="10"/>
  <c r="C226" i="10"/>
  <c r="C224" i="10"/>
  <c r="B224" i="10"/>
  <c r="D223" i="10"/>
  <c r="D222" i="10"/>
  <c r="D221" i="10"/>
  <c r="D220" i="10"/>
  <c r="D219" i="10"/>
  <c r="D218" i="10"/>
  <c r="D217" i="10"/>
  <c r="D216" i="10"/>
  <c r="D215" i="10"/>
  <c r="D214" i="10"/>
  <c r="B215" i="10"/>
  <c r="B216" i="10"/>
  <c r="B217" i="10"/>
  <c r="B218" i="10"/>
  <c r="B219" i="10"/>
  <c r="B220" i="10"/>
  <c r="B221" i="10"/>
  <c r="B222" i="10"/>
  <c r="B223" i="10"/>
  <c r="C223" i="10"/>
  <c r="C222" i="10"/>
  <c r="C221" i="10"/>
  <c r="C220" i="10"/>
  <c r="C219" i="10"/>
  <c r="C218" i="10"/>
  <c r="C217" i="10"/>
  <c r="C216" i="10"/>
  <c r="C215" i="10"/>
  <c r="C214" i="10"/>
  <c r="B214" i="10"/>
  <c r="D213" i="10"/>
  <c r="D212" i="10"/>
  <c r="D211" i="10"/>
  <c r="D210" i="10"/>
  <c r="D209" i="10"/>
  <c r="D208" i="10"/>
  <c r="D207" i="10"/>
  <c r="D206" i="10"/>
  <c r="D204" i="10"/>
  <c r="D205" i="10"/>
  <c r="B205" i="10"/>
  <c r="B206" i="10"/>
  <c r="B207" i="10"/>
  <c r="B208" i="10"/>
  <c r="B209" i="10"/>
  <c r="B210" i="10"/>
  <c r="B211" i="10"/>
  <c r="B212" i="10"/>
  <c r="B213" i="10"/>
  <c r="C213" i="10"/>
  <c r="C212" i="10"/>
  <c r="C211" i="10"/>
  <c r="C210" i="10"/>
  <c r="C209" i="10"/>
  <c r="C208" i="10"/>
  <c r="C207" i="10"/>
  <c r="C206" i="10"/>
  <c r="C205" i="10"/>
  <c r="C204" i="10"/>
  <c r="B204" i="10"/>
  <c r="B195" i="10"/>
  <c r="B196" i="10"/>
  <c r="B197" i="10"/>
  <c r="B198" i="10"/>
  <c r="B199" i="10"/>
  <c r="B200" i="10"/>
  <c r="B201" i="10"/>
  <c r="B202" i="10"/>
  <c r="B203" i="10"/>
  <c r="D203" i="10"/>
  <c r="D202" i="10"/>
  <c r="D201" i="10"/>
  <c r="D200" i="10"/>
  <c r="D199" i="10"/>
  <c r="D198" i="10"/>
  <c r="D197" i="10"/>
  <c r="D196" i="10"/>
  <c r="D195" i="10"/>
  <c r="D194" i="10"/>
  <c r="C203" i="10"/>
  <c r="C202" i="10"/>
  <c r="C201" i="10"/>
  <c r="C200" i="10"/>
  <c r="C199" i="10"/>
  <c r="C198" i="10"/>
  <c r="C197" i="10"/>
  <c r="C196" i="10"/>
  <c r="C195" i="10"/>
  <c r="C194" i="10"/>
  <c r="B194" i="10"/>
  <c r="D193" i="10"/>
  <c r="D192" i="10"/>
  <c r="D191" i="10"/>
  <c r="D190" i="10"/>
  <c r="D189" i="10"/>
  <c r="D188" i="10"/>
  <c r="D187" i="10"/>
  <c r="D186" i="10"/>
  <c r="D185" i="10"/>
  <c r="D184" i="10"/>
  <c r="C193" i="10"/>
  <c r="C192" i="10"/>
  <c r="C191" i="10"/>
  <c r="C190" i="10"/>
  <c r="C189" i="10"/>
  <c r="C188" i="10"/>
  <c r="C187" i="10"/>
  <c r="C186" i="10"/>
  <c r="C185" i="10"/>
  <c r="C184" i="10"/>
  <c r="B192" i="10"/>
  <c r="B193" i="10"/>
  <c r="B190" i="10"/>
  <c r="B191" i="10"/>
  <c r="B188" i="10"/>
  <c r="B189" i="10"/>
  <c r="B186" i="10"/>
  <c r="B187" i="10"/>
  <c r="B185" i="10"/>
  <c r="B184" i="10"/>
  <c r="D182" i="10"/>
  <c r="D183" i="10"/>
  <c r="D181" i="10"/>
  <c r="D179" i="10"/>
  <c r="D180" i="10"/>
  <c r="D178" i="10"/>
  <c r="D176" i="10"/>
  <c r="D177" i="10"/>
  <c r="D175" i="10"/>
  <c r="D173" i="10"/>
  <c r="D174" i="10"/>
  <c r="D172" i="10"/>
  <c r="D170" i="10"/>
  <c r="D171" i="10"/>
  <c r="D169" i="10"/>
  <c r="C182" i="10"/>
  <c r="C183" i="10"/>
  <c r="C181" i="10"/>
  <c r="C179" i="10"/>
  <c r="C180" i="10"/>
  <c r="C178" i="10"/>
  <c r="C176" i="10"/>
  <c r="C177" i="10"/>
  <c r="C175" i="10"/>
  <c r="C173" i="10"/>
  <c r="C174" i="10"/>
  <c r="C172" i="10"/>
  <c r="C170" i="10"/>
  <c r="C171" i="10"/>
  <c r="C169" i="10"/>
  <c r="B181" i="10"/>
  <c r="B182" i="10"/>
  <c r="B183" i="10"/>
  <c r="B178" i="10"/>
  <c r="B179" i="10"/>
  <c r="B180" i="10"/>
  <c r="B175" i="10"/>
  <c r="B176" i="10"/>
  <c r="B177" i="10"/>
  <c r="B172" i="10"/>
  <c r="B173" i="10"/>
  <c r="B174" i="10"/>
  <c r="B170" i="10"/>
  <c r="B171" i="10"/>
  <c r="B169" i="10"/>
  <c r="D167" i="10"/>
  <c r="D168" i="10"/>
  <c r="D166" i="10"/>
  <c r="D164" i="10"/>
  <c r="D165" i="10"/>
  <c r="D163" i="10"/>
  <c r="D161" i="10"/>
  <c r="D162" i="10"/>
  <c r="D160" i="10"/>
  <c r="C167" i="10"/>
  <c r="C168" i="10"/>
  <c r="C166" i="10"/>
  <c r="C164" i="10"/>
  <c r="C165" i="10"/>
  <c r="C163" i="10"/>
  <c r="C161" i="10"/>
  <c r="C162" i="10"/>
  <c r="C160" i="10"/>
  <c r="B166" i="10"/>
  <c r="B167" i="10"/>
  <c r="B168" i="10"/>
  <c r="B163" i="10"/>
  <c r="B164" i="10"/>
  <c r="B165" i="10"/>
  <c r="B161" i="10"/>
  <c r="B162" i="10"/>
  <c r="B160" i="10"/>
  <c r="D158" i="10"/>
  <c r="D159" i="10"/>
  <c r="D157" i="10"/>
  <c r="D155" i="10"/>
  <c r="D156" i="10"/>
  <c r="D154" i="10"/>
  <c r="D152" i="10"/>
  <c r="D153" i="10"/>
  <c r="D151" i="10"/>
  <c r="D149" i="10"/>
  <c r="D150" i="10"/>
  <c r="D148" i="10"/>
  <c r="D146" i="10"/>
  <c r="D147" i="10"/>
  <c r="D145" i="10"/>
  <c r="C158" i="10"/>
  <c r="C159" i="10"/>
  <c r="C157" i="10"/>
  <c r="C155" i="10"/>
  <c r="C156" i="10"/>
  <c r="C154" i="10"/>
  <c r="C152" i="10"/>
  <c r="C153" i="10"/>
  <c r="C151" i="10"/>
  <c r="C149" i="10"/>
  <c r="C150" i="10"/>
  <c r="C148" i="10"/>
  <c r="C146" i="10"/>
  <c r="C147" i="10"/>
  <c r="C145" i="10"/>
  <c r="B157" i="10"/>
  <c r="B158" i="10"/>
  <c r="B159" i="10"/>
  <c r="B154" i="10"/>
  <c r="B155" i="10"/>
  <c r="B156" i="10"/>
  <c r="B151" i="10"/>
  <c r="B152" i="10"/>
  <c r="B153" i="10"/>
  <c r="B148" i="10"/>
  <c r="B149" i="10"/>
  <c r="B150" i="10"/>
  <c r="B146" i="10"/>
  <c r="B147" i="10"/>
  <c r="B145" i="10"/>
  <c r="E84" i="10"/>
  <c r="B75" i="12"/>
  <c r="B60" i="12"/>
  <c r="B61" i="12"/>
  <c r="B62" i="12"/>
  <c r="B63" i="12"/>
  <c r="B65" i="12"/>
  <c r="B66" i="12"/>
  <c r="B68" i="12"/>
  <c r="B69" i="12"/>
  <c r="B70" i="12"/>
  <c r="B71" i="12"/>
  <c r="B72" i="12"/>
  <c r="B73" i="12"/>
  <c r="B74" i="12"/>
  <c r="B59" i="12"/>
  <c r="B107" i="11"/>
  <c r="B99" i="11"/>
  <c r="B101" i="11"/>
  <c r="B102" i="11"/>
  <c r="B103" i="11"/>
  <c r="B104" i="11"/>
  <c r="B105" i="11"/>
  <c r="B106" i="11"/>
  <c r="B98" i="11"/>
  <c r="B85" i="10"/>
  <c r="B86" i="10"/>
  <c r="B87" i="10"/>
  <c r="B88" i="10"/>
  <c r="B89" i="10"/>
  <c r="B90" i="10"/>
  <c r="B91" i="10"/>
  <c r="B92" i="10"/>
  <c r="B93" i="10"/>
  <c r="B84" i="10"/>
  <c r="F28" i="17" l="1"/>
  <c r="C29" i="17"/>
  <c r="F107" i="17"/>
  <c r="C108" i="17"/>
  <c r="F7" i="17"/>
  <c r="K10" i="16" s="1" a="1"/>
  <c r="K10" i="16" s="1"/>
  <c r="W10" i="16" s="1"/>
  <c r="B9" i="19" s="1"/>
  <c r="C8" i="17"/>
  <c r="F67" i="17"/>
  <c r="C68" i="17"/>
  <c r="F88" i="17"/>
  <c r="C89" i="17"/>
  <c r="F48" i="17"/>
  <c r="J11" i="16" s="1" a="1"/>
  <c r="J11" i="16" s="1"/>
  <c r="V11" i="16" s="1"/>
  <c r="C49" i="17"/>
  <c r="E220" i="10"/>
  <c r="E253" i="10"/>
  <c r="E241" i="10"/>
  <c r="E255" i="10"/>
  <c r="E210" i="10"/>
  <c r="E206" i="10"/>
  <c r="E222" i="10"/>
  <c r="E218" i="10"/>
  <c r="E228" i="10"/>
  <c r="E244" i="10"/>
  <c r="E240" i="10"/>
  <c r="E248" i="10"/>
  <c r="E249" i="10"/>
  <c r="E236" i="10"/>
  <c r="E239" i="10"/>
  <c r="E242" i="10"/>
  <c r="E246" i="10"/>
  <c r="E245" i="10"/>
  <c r="E252" i="10"/>
  <c r="E243" i="10"/>
  <c r="E254" i="10"/>
  <c r="E226" i="10"/>
  <c r="E231" i="10"/>
  <c r="E251" i="10"/>
  <c r="E229" i="10"/>
  <c r="E250" i="10"/>
  <c r="E247" i="10"/>
  <c r="E237" i="10"/>
  <c r="E225" i="10"/>
  <c r="E234" i="10"/>
  <c r="E238" i="10"/>
  <c r="E230" i="10"/>
  <c r="E235" i="10"/>
  <c r="E232" i="10"/>
  <c r="E227" i="10"/>
  <c r="E233" i="10"/>
  <c r="E207" i="10"/>
  <c r="E224" i="10"/>
  <c r="E205" i="10"/>
  <c r="E221" i="10"/>
  <c r="E211" i="10"/>
  <c r="E209" i="10"/>
  <c r="E213" i="10"/>
  <c r="E216" i="10"/>
  <c r="E223" i="10"/>
  <c r="E204" i="10"/>
  <c r="E217" i="10"/>
  <c r="E215" i="10"/>
  <c r="E208" i="10"/>
  <c r="E219" i="10"/>
  <c r="E214" i="10"/>
  <c r="E212" i="10"/>
  <c r="E186" i="10"/>
  <c r="E190" i="10"/>
  <c r="E193" i="10"/>
  <c r="E203" i="10"/>
  <c r="E195" i="10"/>
  <c r="E191" i="10"/>
  <c r="E194" i="10"/>
  <c r="E200" i="10"/>
  <c r="E196" i="10"/>
  <c r="E185" i="10"/>
  <c r="E188" i="10"/>
  <c r="E192" i="10"/>
  <c r="E187" i="10"/>
  <c r="E189" i="10"/>
  <c r="E197" i="10"/>
  <c r="E201" i="10"/>
  <c r="E184" i="10"/>
  <c r="E199" i="10"/>
  <c r="E202" i="10"/>
  <c r="E198" i="10"/>
  <c r="E177" i="10"/>
  <c r="E180" i="10"/>
  <c r="E181" i="10"/>
  <c r="E172" i="10"/>
  <c r="E170" i="10"/>
  <c r="E175" i="10"/>
  <c r="E183" i="10"/>
  <c r="E171" i="10"/>
  <c r="E182" i="10"/>
  <c r="E174" i="10"/>
  <c r="E176" i="10"/>
  <c r="E178" i="10"/>
  <c r="E173" i="10"/>
  <c r="E179" i="10"/>
  <c r="E169" i="10"/>
  <c r="E163" i="10"/>
  <c r="E167" i="10"/>
  <c r="E166" i="10"/>
  <c r="E162" i="10"/>
  <c r="E165" i="10"/>
  <c r="E160" i="10"/>
  <c r="E164" i="10"/>
  <c r="E161" i="10"/>
  <c r="E168" i="10"/>
  <c r="E158" i="10"/>
  <c r="E159" i="10"/>
  <c r="E147" i="10"/>
  <c r="E150" i="10"/>
  <c r="E151" i="10"/>
  <c r="E155" i="10"/>
  <c r="E154" i="10"/>
  <c r="E149" i="10"/>
  <c r="E156" i="10"/>
  <c r="E157" i="10"/>
  <c r="E148" i="10"/>
  <c r="E145" i="10"/>
  <c r="E152" i="10"/>
  <c r="E146" i="10"/>
  <c r="E153" i="10"/>
  <c r="C40" i="12"/>
  <c r="C39" i="12"/>
  <c r="C38" i="12"/>
  <c r="C37" i="12"/>
  <c r="C36" i="12"/>
  <c r="B40" i="12"/>
  <c r="B39" i="12"/>
  <c r="B38" i="12"/>
  <c r="B37" i="12"/>
  <c r="B36" i="12"/>
  <c r="H44" i="11"/>
  <c r="H43" i="11"/>
  <c r="H42" i="11"/>
  <c r="H41" i="11"/>
  <c r="B85" i="11"/>
  <c r="B86" i="11"/>
  <c r="B87" i="11"/>
  <c r="B88" i="11"/>
  <c r="B89" i="11"/>
  <c r="B90" i="11"/>
  <c r="B84" i="11"/>
  <c r="B78" i="11"/>
  <c r="B79" i="11"/>
  <c r="B80" i="11"/>
  <c r="B81" i="11"/>
  <c r="B82" i="11"/>
  <c r="B83" i="11"/>
  <c r="B76" i="11"/>
  <c r="B77" i="11"/>
  <c r="B70" i="11"/>
  <c r="B71" i="11"/>
  <c r="B72" i="11"/>
  <c r="B73" i="11"/>
  <c r="B74" i="11"/>
  <c r="B75" i="11"/>
  <c r="B69" i="11"/>
  <c r="B63" i="11"/>
  <c r="B64" i="11"/>
  <c r="B65" i="11"/>
  <c r="B66" i="11"/>
  <c r="B67" i="11"/>
  <c r="B68" i="11"/>
  <c r="B62" i="11"/>
  <c r="B60" i="11"/>
  <c r="B61" i="11"/>
  <c r="B59" i="11"/>
  <c r="B53" i="11"/>
  <c r="B54" i="11"/>
  <c r="B55" i="11"/>
  <c r="B56" i="11"/>
  <c r="B57" i="11"/>
  <c r="B58" i="11"/>
  <c r="B52" i="11"/>
  <c r="B41" i="11"/>
  <c r="B42" i="11"/>
  <c r="B43" i="11"/>
  <c r="B44" i="11"/>
  <c r="C41" i="11"/>
  <c r="C42" i="11"/>
  <c r="C43" i="11"/>
  <c r="C44" i="11"/>
  <c r="B40" i="11"/>
  <c r="B36" i="11"/>
  <c r="B37" i="11"/>
  <c r="B38" i="11"/>
  <c r="B39" i="11"/>
  <c r="C36" i="11"/>
  <c r="C37" i="11"/>
  <c r="C38" i="11"/>
  <c r="C39" i="11"/>
  <c r="B35" i="11"/>
  <c r="B61" i="10"/>
  <c r="E69" i="10"/>
  <c r="C42" i="10"/>
  <c r="C43" i="10"/>
  <c r="C44" i="10"/>
  <c r="C45" i="10"/>
  <c r="B45" i="10"/>
  <c r="B75" i="10"/>
  <c r="B76" i="10"/>
  <c r="C75" i="10"/>
  <c r="C76" i="10"/>
  <c r="C74" i="10"/>
  <c r="B74" i="10"/>
  <c r="B71" i="10"/>
  <c r="B72" i="10"/>
  <c r="B73" i="10"/>
  <c r="C71" i="10"/>
  <c r="C72" i="10"/>
  <c r="C73" i="10"/>
  <c r="C70" i="10"/>
  <c r="B70" i="10"/>
  <c r="B66" i="10"/>
  <c r="B67" i="10"/>
  <c r="B68" i="10"/>
  <c r="B69" i="10"/>
  <c r="C66" i="10"/>
  <c r="C67" i="10"/>
  <c r="C68" i="10"/>
  <c r="C69" i="10"/>
  <c r="B65" i="10"/>
  <c r="C65" i="10"/>
  <c r="B62" i="10"/>
  <c r="B63" i="10"/>
  <c r="B64" i="10"/>
  <c r="C61" i="10"/>
  <c r="C62" i="10"/>
  <c r="C63" i="10"/>
  <c r="C64" i="10"/>
  <c r="C60" i="10"/>
  <c r="B60" i="10"/>
  <c r="B56" i="10"/>
  <c r="B57" i="10"/>
  <c r="B58" i="10"/>
  <c r="B59" i="10"/>
  <c r="C56" i="10"/>
  <c r="C57" i="10"/>
  <c r="C58" i="10"/>
  <c r="C59" i="10"/>
  <c r="C55" i="10"/>
  <c r="B55" i="10"/>
  <c r="B51" i="10"/>
  <c r="B52" i="10"/>
  <c r="B53" i="10"/>
  <c r="B54" i="10"/>
  <c r="B50" i="10"/>
  <c r="C54" i="10"/>
  <c r="C51" i="10"/>
  <c r="C52" i="10"/>
  <c r="C53" i="10"/>
  <c r="C50" i="10"/>
  <c r="B47" i="10"/>
  <c r="B48" i="10"/>
  <c r="B49" i="10"/>
  <c r="C47" i="10"/>
  <c r="C48" i="10"/>
  <c r="C49" i="10"/>
  <c r="C46" i="10"/>
  <c r="B46" i="10"/>
  <c r="B42" i="10"/>
  <c r="B43" i="10"/>
  <c r="B44" i="10"/>
  <c r="C41" i="10"/>
  <c r="B41" i="10"/>
  <c r="B39" i="10"/>
  <c r="B40" i="10"/>
  <c r="C39" i="10"/>
  <c r="C40" i="10"/>
  <c r="C38" i="10"/>
  <c r="B38" i="10"/>
  <c r="B34" i="10"/>
  <c r="B35" i="10"/>
  <c r="B36" i="10"/>
  <c r="B37" i="10"/>
  <c r="C34" i="10"/>
  <c r="C35" i="10"/>
  <c r="C36" i="10"/>
  <c r="C37" i="10"/>
  <c r="C33" i="10"/>
  <c r="B33" i="10"/>
  <c r="F8" i="17" l="1"/>
  <c r="K11" i="16" s="1" a="1"/>
  <c r="K11" i="16" s="1"/>
  <c r="W11" i="16" s="1"/>
  <c r="B10" i="19" s="1"/>
  <c r="C9" i="17"/>
  <c r="F108" i="17"/>
  <c r="C109" i="17"/>
  <c r="F49" i="17"/>
  <c r="J12" i="16" s="1" a="1"/>
  <c r="J12" i="16" s="1"/>
  <c r="V12" i="16" s="1"/>
  <c r="C50" i="17"/>
  <c r="F89" i="17"/>
  <c r="C90" i="17"/>
  <c r="F29" i="17"/>
  <c r="C30" i="17"/>
  <c r="F68" i="17"/>
  <c r="C69" i="17"/>
  <c r="D43" i="11"/>
  <c r="D106" i="11" s="1"/>
  <c r="D41" i="12"/>
  <c r="D46" i="12"/>
  <c r="D69" i="12" s="1"/>
  <c r="D47" i="12"/>
  <c r="D70" i="12" s="1"/>
  <c r="D44" i="12"/>
  <c r="D67" i="12" s="1"/>
  <c r="D38" i="11"/>
  <c r="D101" i="11" s="1"/>
  <c r="D39" i="10"/>
  <c r="F39" i="10" s="1"/>
  <c r="D46" i="10"/>
  <c r="D97" i="10" s="1"/>
  <c r="D73" i="10"/>
  <c r="F73" i="10" s="1"/>
  <c r="D71" i="11"/>
  <c r="D134" i="11" s="1"/>
  <c r="D83" i="11"/>
  <c r="D146" i="11" s="1"/>
  <c r="D77" i="11"/>
  <c r="D140" i="11" s="1"/>
  <c r="D82" i="11"/>
  <c r="D145" i="11" s="1"/>
  <c r="D84" i="11"/>
  <c r="D147" i="11" s="1"/>
  <c r="D75" i="11"/>
  <c r="D138" i="11" s="1"/>
  <c r="D76" i="11"/>
  <c r="D139" i="11" s="1"/>
  <c r="D79" i="11"/>
  <c r="D142" i="11" s="1"/>
  <c r="D90" i="11"/>
  <c r="D153" i="11" s="1"/>
  <c r="D86" i="11"/>
  <c r="D149" i="11" s="1"/>
  <c r="D69" i="11"/>
  <c r="D132" i="11" s="1"/>
  <c r="D72" i="11"/>
  <c r="D135" i="11" s="1"/>
  <c r="D74" i="11"/>
  <c r="D137" i="11" s="1"/>
  <c r="D70" i="11"/>
  <c r="D133" i="11" s="1"/>
  <c r="D78" i="11"/>
  <c r="D141" i="11" s="1"/>
  <c r="D89" i="11"/>
  <c r="D152" i="11" s="1"/>
  <c r="D85" i="11"/>
  <c r="D148" i="11" s="1"/>
  <c r="D87" i="11"/>
  <c r="D150" i="11" s="1"/>
  <c r="D38" i="10"/>
  <c r="D49" i="10"/>
  <c r="D36" i="10"/>
  <c r="D57" i="10"/>
  <c r="D61" i="10"/>
  <c r="D41" i="10"/>
  <c r="D42" i="10"/>
  <c r="D47" i="10"/>
  <c r="D70" i="10"/>
  <c r="D74" i="10"/>
  <c r="D35" i="10"/>
  <c r="D56" i="10"/>
  <c r="D69" i="10"/>
  <c r="D40" i="10"/>
  <c r="D65" i="10"/>
  <c r="D71" i="10"/>
  <c r="D39" i="12"/>
  <c r="D36" i="12"/>
  <c r="D59" i="12" s="1"/>
  <c r="D40" i="12"/>
  <c r="D45" i="12"/>
  <c r="D37" i="12"/>
  <c r="D38" i="12"/>
  <c r="D42" i="12"/>
  <c r="D81" i="11"/>
  <c r="D144" i="11" s="1"/>
  <c r="D88" i="11"/>
  <c r="D151" i="11" s="1"/>
  <c r="D80" i="11"/>
  <c r="D143" i="11" s="1"/>
  <c r="D73" i="11"/>
  <c r="D136" i="11" s="1"/>
  <c r="D53" i="11"/>
  <c r="D116" i="11" s="1"/>
  <c r="D67" i="11"/>
  <c r="D130" i="11" s="1"/>
  <c r="D59" i="11"/>
  <c r="D122" i="11" s="1"/>
  <c r="D58" i="11"/>
  <c r="D121" i="11" s="1"/>
  <c r="D54" i="11"/>
  <c r="D117" i="11" s="1"/>
  <c r="D63" i="11"/>
  <c r="D126" i="11" s="1"/>
  <c r="D57" i="11"/>
  <c r="D120" i="11" s="1"/>
  <c r="D55" i="11"/>
  <c r="D118" i="11" s="1"/>
  <c r="D60" i="11"/>
  <c r="D123" i="11" s="1"/>
  <c r="D68" i="11"/>
  <c r="D131" i="11" s="1"/>
  <c r="D64" i="11"/>
  <c r="D127" i="11" s="1"/>
  <c r="D62" i="11"/>
  <c r="D125" i="11" s="1"/>
  <c r="D65" i="11"/>
  <c r="D128" i="11" s="1"/>
  <c r="D52" i="11"/>
  <c r="D115" i="11" s="1"/>
  <c r="D56" i="11"/>
  <c r="D119" i="11" s="1"/>
  <c r="D61" i="11"/>
  <c r="D124" i="11" s="1"/>
  <c r="D66" i="11"/>
  <c r="D129" i="11" s="1"/>
  <c r="D44" i="11"/>
  <c r="D107" i="11" s="1"/>
  <c r="D41" i="11"/>
  <c r="D104" i="11" s="1"/>
  <c r="D42" i="11"/>
  <c r="D105" i="11" s="1"/>
  <c r="D40" i="11"/>
  <c r="D103" i="11" s="1"/>
  <c r="D36" i="11"/>
  <c r="D99" i="11" s="1"/>
  <c r="D37" i="11"/>
  <c r="D100" i="11" s="1"/>
  <c r="D39" i="11"/>
  <c r="D102" i="11" s="1"/>
  <c r="D35" i="11"/>
  <c r="D63" i="10"/>
  <c r="D66" i="10"/>
  <c r="D34" i="10"/>
  <c r="D59" i="10"/>
  <c r="D62" i="10"/>
  <c r="D37" i="10"/>
  <c r="D53" i="10"/>
  <c r="D50" i="10"/>
  <c r="D51" i="10"/>
  <c r="D58" i="10"/>
  <c r="D60" i="10"/>
  <c r="D68" i="10"/>
  <c r="D75" i="10"/>
  <c r="D43" i="10"/>
  <c r="D48" i="10"/>
  <c r="D52" i="10"/>
  <c r="D54" i="10"/>
  <c r="D55" i="10"/>
  <c r="D64" i="10"/>
  <c r="D67" i="10"/>
  <c r="D72" i="10"/>
  <c r="D76" i="10"/>
  <c r="D45" i="10"/>
  <c r="E67" i="10"/>
  <c r="E68" i="10"/>
  <c r="E65" i="10"/>
  <c r="D44" i="10"/>
  <c r="D33" i="10"/>
  <c r="F50" i="17" l="1"/>
  <c r="J13" i="16" s="1" a="1"/>
  <c r="J13" i="16" s="1"/>
  <c r="V13" i="16" s="1"/>
  <c r="C51" i="17"/>
  <c r="F109" i="17"/>
  <c r="C110" i="17"/>
  <c r="F9" i="17"/>
  <c r="K12" i="16" s="1" a="1"/>
  <c r="K12" i="16" s="1"/>
  <c r="W12" i="16" s="1"/>
  <c r="B11" i="19" s="1"/>
  <c r="C10" i="17"/>
  <c r="F30" i="17"/>
  <c r="C31" i="17"/>
  <c r="F69" i="17"/>
  <c r="C70" i="17"/>
  <c r="F90" i="17"/>
  <c r="C91" i="17"/>
  <c r="F46" i="12"/>
  <c r="D68" i="12"/>
  <c r="F39" i="12"/>
  <c r="D62" i="12"/>
  <c r="F37" i="12"/>
  <c r="D60" i="12"/>
  <c r="F40" i="12"/>
  <c r="D63" i="12"/>
  <c r="F43" i="12"/>
  <c r="D65" i="12"/>
  <c r="F41" i="12"/>
  <c r="D64" i="12"/>
  <c r="F38" i="12"/>
  <c r="D61" i="12"/>
  <c r="F47" i="12"/>
  <c r="F45" i="12"/>
  <c r="F44" i="12"/>
  <c r="F42" i="12"/>
  <c r="F86" i="11"/>
  <c r="F90" i="11"/>
  <c r="F87" i="11"/>
  <c r="F85" i="11"/>
  <c r="F89" i="11"/>
  <c r="F88" i="11"/>
  <c r="F58" i="11"/>
  <c r="F72" i="11"/>
  <c r="F56" i="11"/>
  <c r="F62" i="11"/>
  <c r="F74" i="11"/>
  <c r="F64" i="11"/>
  <c r="F80" i="11"/>
  <c r="F79" i="11"/>
  <c r="F69" i="11"/>
  <c r="F67" i="11"/>
  <c r="F73" i="11"/>
  <c r="F36" i="11"/>
  <c r="F60" i="11"/>
  <c r="F75" i="11"/>
  <c r="F65" i="11"/>
  <c r="F37" i="11"/>
  <c r="F84" i="11"/>
  <c r="F71" i="11"/>
  <c r="F76" i="11"/>
  <c r="F42" i="11"/>
  <c r="F82" i="11"/>
  <c r="F59" i="11"/>
  <c r="F53" i="11"/>
  <c r="F40" i="11"/>
  <c r="F55" i="11"/>
  <c r="F57" i="11"/>
  <c r="F44" i="11"/>
  <c r="F63" i="11"/>
  <c r="F78" i="11"/>
  <c r="F77" i="11"/>
  <c r="F61" i="11"/>
  <c r="F52" i="11"/>
  <c r="F39" i="11"/>
  <c r="F68" i="11"/>
  <c r="F81" i="11"/>
  <c r="F41" i="11"/>
  <c r="F66" i="11"/>
  <c r="F54" i="11"/>
  <c r="F70" i="11"/>
  <c r="F83" i="11"/>
  <c r="F43" i="11"/>
  <c r="F38" i="11"/>
  <c r="D90" i="10"/>
  <c r="F46" i="10"/>
  <c r="D124" i="10"/>
  <c r="F36" i="12"/>
  <c r="F35" i="11"/>
  <c r="D98" i="11"/>
  <c r="F43" i="10"/>
  <c r="D94" i="10"/>
  <c r="F37" i="10"/>
  <c r="D88" i="10"/>
  <c r="F40" i="10"/>
  <c r="D91" i="10"/>
  <c r="F41" i="10"/>
  <c r="D92" i="10"/>
  <c r="F72" i="10"/>
  <c r="D123" i="10"/>
  <c r="F54" i="10"/>
  <c r="D105" i="10"/>
  <c r="F75" i="10"/>
  <c r="D126" i="10"/>
  <c r="F51" i="10"/>
  <c r="D102" i="10"/>
  <c r="F62" i="10"/>
  <c r="D113" i="10"/>
  <c r="F63" i="10"/>
  <c r="D114" i="10"/>
  <c r="F69" i="10"/>
  <c r="D120" i="10"/>
  <c r="F70" i="10"/>
  <c r="D121" i="10"/>
  <c r="F61" i="10"/>
  <c r="D112" i="10"/>
  <c r="F38" i="10"/>
  <c r="D89" i="10"/>
  <c r="F55" i="10"/>
  <c r="D106" i="10"/>
  <c r="F49" i="10"/>
  <c r="D100" i="10"/>
  <c r="F67" i="10"/>
  <c r="D118" i="10"/>
  <c r="F52" i="10"/>
  <c r="D103" i="10"/>
  <c r="F68" i="10"/>
  <c r="D119" i="10"/>
  <c r="F50" i="10"/>
  <c r="D101" i="10"/>
  <c r="F59" i="10"/>
  <c r="D110" i="10"/>
  <c r="F71" i="10"/>
  <c r="D122" i="10"/>
  <c r="F56" i="10"/>
  <c r="D107" i="10"/>
  <c r="F47" i="10"/>
  <c r="D98" i="10"/>
  <c r="F57" i="10"/>
  <c r="D108" i="10"/>
  <c r="F76" i="10"/>
  <c r="D127" i="10"/>
  <c r="F58" i="10"/>
  <c r="D109" i="10"/>
  <c r="F66" i="10"/>
  <c r="D117" i="10"/>
  <c r="F74" i="10"/>
  <c r="D125" i="10"/>
  <c r="F33" i="10"/>
  <c r="D84" i="10"/>
  <c r="F44" i="10"/>
  <c r="D95" i="10"/>
  <c r="F45" i="10"/>
  <c r="D96" i="10"/>
  <c r="F64" i="10"/>
  <c r="D115" i="10"/>
  <c r="F48" i="10"/>
  <c r="D99" i="10"/>
  <c r="F60" i="10"/>
  <c r="D111" i="10"/>
  <c r="F53" i="10"/>
  <c r="D104" i="10"/>
  <c r="F34" i="10"/>
  <c r="D85" i="10"/>
  <c r="F65" i="10"/>
  <c r="D116" i="10"/>
  <c r="F35" i="10"/>
  <c r="D86" i="10"/>
  <c r="F42" i="10"/>
  <c r="D93" i="10"/>
  <c r="F36" i="10"/>
  <c r="D87" i="10"/>
  <c r="F31" i="17" l="1"/>
  <c r="C32" i="17"/>
  <c r="F10" i="17"/>
  <c r="K13" i="16" s="1" a="1"/>
  <c r="K13" i="16" s="1"/>
  <c r="W13" i="16" s="1"/>
  <c r="B12" i="19" s="1"/>
  <c r="C11" i="17"/>
  <c r="F110" i="17"/>
  <c r="C111" i="17"/>
  <c r="F91" i="17"/>
  <c r="C92" i="17"/>
  <c r="F51" i="17"/>
  <c r="J14" i="16" s="1" a="1"/>
  <c r="J14" i="16" s="1"/>
  <c r="V14" i="16" s="1"/>
  <c r="C52" i="17"/>
  <c r="F70" i="17"/>
  <c r="C71" i="17"/>
  <c r="N6" i="9"/>
  <c r="H37" i="12"/>
  <c r="C13" i="14" l="1" a="1"/>
  <c r="C13" i="14" s="1"/>
  <c r="F52" i="17"/>
  <c r="J15" i="16" s="1" a="1"/>
  <c r="J15" i="16" s="1"/>
  <c r="V15" i="16" s="1"/>
  <c r="C53" i="17"/>
  <c r="F111" i="17"/>
  <c r="C112" i="17"/>
  <c r="F11" i="17"/>
  <c r="K14" i="16" s="1" a="1"/>
  <c r="K14" i="16" s="1"/>
  <c r="W14" i="16" s="1"/>
  <c r="B13" i="19" s="1"/>
  <c r="C12" i="17"/>
  <c r="F32" i="17"/>
  <c r="C33" i="17"/>
  <c r="F71" i="17"/>
  <c r="C72" i="17"/>
  <c r="F92" i="17"/>
  <c r="C93" i="17"/>
  <c r="D48" i="12"/>
  <c r="D71" i="12" s="1"/>
  <c r="E107" i="11"/>
  <c r="E106" i="11"/>
  <c r="E105" i="11"/>
  <c r="E104" i="11"/>
  <c r="F12" i="17" l="1"/>
  <c r="K15" i="16" s="1" a="1"/>
  <c r="K15" i="16" s="1"/>
  <c r="W15" i="16" s="1"/>
  <c r="B14" i="19" s="1"/>
  <c r="C13" i="17"/>
  <c r="F112" i="17"/>
  <c r="C113" i="17"/>
  <c r="F53" i="17"/>
  <c r="J16" i="16" s="1" a="1"/>
  <c r="J16" i="16" s="1"/>
  <c r="V16" i="16" s="1"/>
  <c r="C54" i="17"/>
  <c r="F33" i="17"/>
  <c r="C34" i="17"/>
  <c r="F93" i="17"/>
  <c r="C94" i="17"/>
  <c r="F72" i="17"/>
  <c r="C73" i="17"/>
  <c r="F48" i="12"/>
  <c r="F34" i="17" l="1"/>
  <c r="C35" i="17"/>
  <c r="F113" i="17"/>
  <c r="C114" i="17"/>
  <c r="F54" i="17"/>
  <c r="J17" i="16" s="1" a="1"/>
  <c r="J17" i="16" s="1"/>
  <c r="V17" i="16" s="1"/>
  <c r="C55" i="17"/>
  <c r="F13" i="17"/>
  <c r="K16" i="16" s="1" a="1"/>
  <c r="K16" i="16" s="1"/>
  <c r="W16" i="16" s="1"/>
  <c r="B15" i="19" s="1"/>
  <c r="C14" i="17"/>
  <c r="F73" i="17"/>
  <c r="C74" i="17"/>
  <c r="F94" i="17"/>
  <c r="C95" i="17"/>
  <c r="E73" i="10"/>
  <c r="E71" i="10"/>
  <c r="E72" i="10"/>
  <c r="F14" i="17" l="1"/>
  <c r="K17" i="16" s="1" a="1"/>
  <c r="K17" i="16" s="1"/>
  <c r="W17" i="16" s="1"/>
  <c r="B16" i="19" s="1"/>
  <c r="C15" i="17"/>
  <c r="F114" i="17"/>
  <c r="C115" i="17"/>
  <c r="F55" i="17"/>
  <c r="J18" i="16" s="1" a="1"/>
  <c r="J18" i="16" s="1"/>
  <c r="V18" i="16" s="1"/>
  <c r="C56" i="17"/>
  <c r="F35" i="17"/>
  <c r="C36" i="17"/>
  <c r="F95" i="17"/>
  <c r="C96" i="17"/>
  <c r="F74" i="17"/>
  <c r="C75" i="17"/>
  <c r="E44" i="11"/>
  <c r="E43" i="11"/>
  <c r="E41" i="11"/>
  <c r="E40" i="11" s="1"/>
  <c r="F36" i="17" l="1"/>
  <c r="C37" i="17"/>
  <c r="F56" i="17"/>
  <c r="J19" i="16" s="1" a="1"/>
  <c r="J19" i="16" s="1"/>
  <c r="V19" i="16" s="1"/>
  <c r="C57" i="17"/>
  <c r="F115" i="17"/>
  <c r="C116" i="17"/>
  <c r="F75" i="17"/>
  <c r="C76" i="17"/>
  <c r="F15" i="17"/>
  <c r="K18" i="16" s="1" a="1"/>
  <c r="K18" i="16" s="1"/>
  <c r="W18" i="16" s="1"/>
  <c r="B17" i="19" s="1"/>
  <c r="C16" i="17"/>
  <c r="F96" i="17"/>
  <c r="C97" i="17"/>
  <c r="E116" i="10"/>
  <c r="E37" i="10"/>
  <c r="E42" i="11"/>
  <c r="F116" i="17" l="1"/>
  <c r="C117" i="17"/>
  <c r="F57" i="17"/>
  <c r="J20" i="16" s="1" a="1"/>
  <c r="J20" i="16" s="1"/>
  <c r="V20" i="16" s="1"/>
  <c r="C58" i="17"/>
  <c r="F37" i="17"/>
  <c r="C38" i="17"/>
  <c r="F76" i="17"/>
  <c r="C77" i="17"/>
  <c r="F97" i="17"/>
  <c r="C98" i="17"/>
  <c r="F16" i="17"/>
  <c r="K19" i="16" s="1" a="1"/>
  <c r="K19" i="16" s="1"/>
  <c r="W19" i="16" s="1"/>
  <c r="B18" i="19" s="1"/>
  <c r="C17" i="17"/>
  <c r="E35" i="10"/>
  <c r="E36" i="10"/>
  <c r="E33" i="10"/>
  <c r="F77" i="17" l="1"/>
  <c r="C78" i="17"/>
  <c r="F38" i="17"/>
  <c r="C39" i="17"/>
  <c r="F58" i="17"/>
  <c r="J21" i="16" s="1" a="1"/>
  <c r="J21" i="16" s="1"/>
  <c r="V21" i="16" s="1"/>
  <c r="C59" i="17"/>
  <c r="F117" i="17"/>
  <c r="C118" i="17"/>
  <c r="F17" i="17"/>
  <c r="K20" i="16" s="1" a="1"/>
  <c r="K20" i="16" s="1"/>
  <c r="W20" i="16" s="1"/>
  <c r="B19" i="19" s="1"/>
  <c r="C18" i="17"/>
  <c r="F98" i="17"/>
  <c r="C99" i="17"/>
  <c r="E102" i="11"/>
  <c r="E101" i="11"/>
  <c r="E100" i="11"/>
  <c r="E98" i="11"/>
  <c r="E35" i="11"/>
  <c r="E38" i="11" s="1"/>
  <c r="F59" i="17" l="1"/>
  <c r="J22" i="16" s="1" a="1"/>
  <c r="J22" i="16" s="1"/>
  <c r="V22" i="16" s="1"/>
  <c r="C60" i="17"/>
  <c r="F39" i="17"/>
  <c r="C40" i="17"/>
  <c r="F118" i="17"/>
  <c r="C119" i="17"/>
  <c r="F78" i="17"/>
  <c r="C79" i="17"/>
  <c r="F99" i="17"/>
  <c r="C100" i="17"/>
  <c r="F18" i="17"/>
  <c r="K21" i="16" s="1" a="1"/>
  <c r="K21" i="16" s="1"/>
  <c r="W21" i="16" s="1"/>
  <c r="B20" i="19" s="1"/>
  <c r="C19" i="17"/>
  <c r="E39" i="11"/>
  <c r="E37" i="11"/>
  <c r="F19" i="17" l="1"/>
  <c r="K22" i="16" s="1" a="1"/>
  <c r="K22" i="16" s="1"/>
  <c r="W22" i="16" s="1"/>
  <c r="B21" i="19" s="1"/>
  <c r="C20" i="17"/>
  <c r="F119" i="17"/>
  <c r="C120" i="17"/>
  <c r="F79" i="17"/>
  <c r="C80" i="17"/>
  <c r="F40" i="17"/>
  <c r="C41" i="17"/>
  <c r="F60" i="17"/>
  <c r="J23" i="16" s="1" a="1"/>
  <c r="J23" i="16" s="1"/>
  <c r="V23" i="16" s="1"/>
  <c r="C61" i="17"/>
  <c r="F100" i="17"/>
  <c r="C101" i="17"/>
  <c r="G37" i="12"/>
  <c r="G43" i="11"/>
  <c r="G42" i="11"/>
  <c r="G41" i="11"/>
  <c r="G40" i="11" s="1"/>
  <c r="F61" i="17" l="1"/>
  <c r="J24" i="16" s="1" a="1"/>
  <c r="J24" i="16" s="1"/>
  <c r="V24" i="16" s="1"/>
  <c r="C62" i="17"/>
  <c r="F80" i="17"/>
  <c r="C81" i="17"/>
  <c r="F41" i="17"/>
  <c r="C42" i="17"/>
  <c r="F120" i="17"/>
  <c r="C121" i="17"/>
  <c r="F20" i="17"/>
  <c r="K23" i="16" s="1" a="1"/>
  <c r="K23" i="16" s="1"/>
  <c r="W23" i="16" s="1"/>
  <c r="B22" i="19" s="1"/>
  <c r="C21" i="17"/>
  <c r="F101" i="17"/>
  <c r="C102" i="17"/>
  <c r="G44" i="11"/>
  <c r="AC53" i="14" a="1"/>
  <c r="AC53" i="14" s="1"/>
  <c r="AC52" i="14" a="1"/>
  <c r="AC52" i="14" s="1"/>
  <c r="AC51" i="14" a="1"/>
  <c r="AC51" i="14" s="1"/>
  <c r="AC50" i="14" a="1"/>
  <c r="AC50" i="14" s="1"/>
  <c r="AC49" i="14" a="1"/>
  <c r="AC49" i="14" s="1"/>
  <c r="AC48" i="14" a="1"/>
  <c r="AC48" i="14" s="1"/>
  <c r="AC47" i="14" a="1"/>
  <c r="AC47" i="14" s="1"/>
  <c r="AC46" i="14" a="1"/>
  <c r="AC46" i="14" s="1"/>
  <c r="AC45" i="14" a="1"/>
  <c r="AC45" i="14" s="1"/>
  <c r="AC44" i="14" a="1"/>
  <c r="AC44" i="14" s="1"/>
  <c r="AC43" i="14" a="1"/>
  <c r="AC43" i="14" s="1"/>
  <c r="AC42" i="14" a="1"/>
  <c r="AC42" i="14" s="1"/>
  <c r="AC41" i="14" a="1"/>
  <c r="AC41" i="14" s="1"/>
  <c r="AC40" i="14" a="1"/>
  <c r="AC40" i="14" s="1"/>
  <c r="AC39" i="14" a="1"/>
  <c r="AC39" i="14" s="1"/>
  <c r="AP9" i="14"/>
  <c r="AQ9" i="14"/>
  <c r="AP48" i="9"/>
  <c r="AP47" i="9"/>
  <c r="AP46" i="9"/>
  <c r="D51" i="12"/>
  <c r="D50" i="12"/>
  <c r="D73" i="12" s="1"/>
  <c r="D49" i="12"/>
  <c r="D72" i="12" s="1"/>
  <c r="F121" i="17" l="1"/>
  <c r="C122" i="17"/>
  <c r="F42" i="17"/>
  <c r="C43" i="17"/>
  <c r="F43" i="17" s="1"/>
  <c r="F81" i="17"/>
  <c r="C82" i="17"/>
  <c r="F102" i="17"/>
  <c r="C103" i="17"/>
  <c r="F103" i="17" s="1"/>
  <c r="F62" i="17"/>
  <c r="J25" i="16" s="1" a="1"/>
  <c r="J25" i="16" s="1"/>
  <c r="V25" i="16" s="1"/>
  <c r="C63" i="17"/>
  <c r="F63" i="17" s="1"/>
  <c r="J26" i="16" s="1" a="1"/>
  <c r="J26" i="16" s="1"/>
  <c r="V26" i="16" s="1"/>
  <c r="F21" i="17"/>
  <c r="K24" i="16" s="1" a="1"/>
  <c r="K24" i="16" s="1"/>
  <c r="W24" i="16" s="1"/>
  <c r="B23" i="19" s="1"/>
  <c r="C22" i="17"/>
  <c r="F52" i="12"/>
  <c r="D74" i="12"/>
  <c r="F51" i="12"/>
  <c r="F50" i="12"/>
  <c r="F49" i="12"/>
  <c r="W14" i="9"/>
  <c r="F3" i="14"/>
  <c r="AO18" i="9"/>
  <c r="AO8" i="9"/>
  <c r="AO31" i="9"/>
  <c r="AO7" i="9"/>
  <c r="AO30" i="9"/>
  <c r="AO20" i="9"/>
  <c r="AN5" i="9"/>
  <c r="AO52" i="9" s="1"/>
  <c r="AO6" i="9"/>
  <c r="AO38" i="9"/>
  <c r="AO11" i="9"/>
  <c r="AO23" i="9"/>
  <c r="AO32" i="9"/>
  <c r="AO19" i="9"/>
  <c r="AN29" i="9"/>
  <c r="AO66" i="9" s="1"/>
  <c r="AN17" i="9"/>
  <c r="AO59" i="9" s="1"/>
  <c r="AL4" i="9" l="1"/>
  <c r="AL6" i="9" s="1"/>
  <c r="F82" i="17"/>
  <c r="C83" i="17"/>
  <c r="F83" i="17" s="1"/>
  <c r="F122" i="17"/>
  <c r="C123" i="17"/>
  <c r="F123" i="17" s="1"/>
  <c r="F22" i="17"/>
  <c r="K25" i="16" s="1" a="1"/>
  <c r="K25" i="16" s="1"/>
  <c r="W25" i="16" s="1"/>
  <c r="B24" i="19" s="1"/>
  <c r="C23" i="17"/>
  <c r="F23" i="17" s="1"/>
  <c r="K26" i="16" s="1" a="1"/>
  <c r="K26" i="16" s="1"/>
  <c r="W26" i="16" s="1"/>
  <c r="B25" i="19" s="1"/>
  <c r="W10" i="9"/>
  <c r="W8" i="9"/>
  <c r="W9" i="9"/>
  <c r="W13" i="9"/>
  <c r="W7" i="9"/>
  <c r="W12" i="9"/>
  <c r="W6" i="9"/>
  <c r="W11" i="9"/>
  <c r="AO5" i="9"/>
  <c r="E3" i="14" s="1" a="1"/>
  <c r="E3" i="14" s="1"/>
  <c r="AN52" i="9" a="1"/>
  <c r="AO17" i="9"/>
  <c r="E13" i="14" s="1" a="1"/>
  <c r="E13" i="14" s="1"/>
  <c r="AN59" i="9" a="1"/>
  <c r="AO29" i="9"/>
  <c r="AN66" i="9" a="1"/>
  <c r="D23" i="14" a="1"/>
  <c r="D23" i="14" s="1"/>
  <c r="F33" i="14"/>
  <c r="L3" i="14"/>
  <c r="AP43" i="9" l="1" a="1"/>
  <c r="AP43" i="9" s="1"/>
  <c r="AO42" i="9" a="1"/>
  <c r="AO42" i="9" s="1"/>
  <c r="AO41" i="9" a="1"/>
  <c r="AO41" i="9" s="1"/>
  <c r="R6" i="19"/>
  <c r="E23" i="14" a="1"/>
  <c r="E23" i="14" s="1"/>
  <c r="E33" i="14" s="1"/>
  <c r="R8" i="19"/>
  <c r="D33" i="14"/>
  <c r="C23" i="14" a="1"/>
  <c r="C23" i="14" s="1"/>
  <c r="AN66" i="9"/>
  <c r="AN59" i="9"/>
  <c r="AN52" i="9"/>
  <c r="R3" i="14"/>
  <c r="L33" i="14"/>
  <c r="C33" i="14" l="1"/>
  <c r="H8" i="14" a="1"/>
  <c r="H8" i="14" s="1"/>
  <c r="H15" i="14" a="1"/>
  <c r="H15" i="14" s="1"/>
  <c r="H29" i="14" a="1"/>
  <c r="H29" i="14" s="1"/>
  <c r="H16" i="14" a="1"/>
  <c r="H16" i="14" s="1"/>
  <c r="H9" i="14" a="1"/>
  <c r="H9" i="14" s="1"/>
  <c r="H10" i="14" a="1"/>
  <c r="H10" i="14" s="1"/>
  <c r="H24" i="14" a="1"/>
  <c r="H24" i="14" s="1"/>
  <c r="H28" i="14" a="1"/>
  <c r="H28" i="14" s="1"/>
  <c r="H7" i="14" a="1"/>
  <c r="H7" i="14" s="1"/>
  <c r="H27" i="14" a="1"/>
  <c r="H27" i="14" s="1"/>
  <c r="H31" i="14" a="1"/>
  <c r="H31" i="14" s="1"/>
  <c r="H14" i="14" a="1"/>
  <c r="H14" i="14" s="1"/>
  <c r="H4" i="14" a="1"/>
  <c r="H4" i="14" s="1"/>
  <c r="H22" i="14" a="1"/>
  <c r="H22" i="14" s="1"/>
  <c r="H13" i="14" a="1"/>
  <c r="H13" i="14" s="1"/>
  <c r="H32" i="14" a="1"/>
  <c r="H32" i="14" s="1"/>
  <c r="H5" i="14" a="1"/>
  <c r="H5" i="14" s="1"/>
  <c r="H18" i="14" a="1"/>
  <c r="H18" i="14" s="1"/>
  <c r="H6" i="14" a="1"/>
  <c r="H6" i="14" s="1"/>
  <c r="H23" i="14" a="1"/>
  <c r="H23" i="14" s="1"/>
  <c r="H30" i="14" a="1"/>
  <c r="H30" i="14" s="1"/>
  <c r="H20" i="14" a="1"/>
  <c r="H20" i="14" s="1"/>
  <c r="H11" i="14" a="1"/>
  <c r="H11" i="14" s="1"/>
  <c r="H25" i="14" a="1"/>
  <c r="H25" i="14" s="1"/>
  <c r="H21" i="14" a="1"/>
  <c r="H21" i="14" s="1"/>
  <c r="H26" i="14" a="1"/>
  <c r="H26" i="14" s="1"/>
  <c r="H17" i="14" a="1"/>
  <c r="H17" i="14" s="1"/>
  <c r="H19" i="14" a="1"/>
  <c r="H19" i="14" s="1"/>
  <c r="H12" i="14" a="1"/>
  <c r="H12" i="14" s="1"/>
  <c r="H3" i="14" a="1"/>
  <c r="H3" i="14" s="1"/>
  <c r="N3" i="14" l="1" a="1"/>
  <c r="N3" i="14" s="1"/>
  <c r="K30" i="14"/>
  <c r="I30" i="14"/>
  <c r="J30" i="14"/>
  <c r="I23" i="14"/>
  <c r="J23" i="14"/>
  <c r="K23" i="14"/>
  <c r="K28" i="14"/>
  <c r="J28" i="14"/>
  <c r="I28" i="14"/>
  <c r="I31" i="14"/>
  <c r="K31" i="14"/>
  <c r="J31" i="14"/>
  <c r="I7" i="14"/>
  <c r="K7" i="14"/>
  <c r="J7" i="14"/>
  <c r="J6" i="14"/>
  <c r="K6" i="14"/>
  <c r="I6" i="14"/>
  <c r="I24" i="14"/>
  <c r="K24" i="14"/>
  <c r="J24" i="14"/>
  <c r="I27" i="14"/>
  <c r="J27" i="14"/>
  <c r="K27" i="14"/>
  <c r="I18" i="14"/>
  <c r="J18" i="14"/>
  <c r="K18" i="14"/>
  <c r="I10" i="14"/>
  <c r="K10" i="14"/>
  <c r="J10" i="14"/>
  <c r="I20" i="14"/>
  <c r="J20" i="14"/>
  <c r="K20" i="14"/>
  <c r="I12" i="14"/>
  <c r="J12" i="14"/>
  <c r="K12" i="14"/>
  <c r="K5" i="14"/>
  <c r="I5" i="14"/>
  <c r="J5" i="14"/>
  <c r="K9" i="14"/>
  <c r="J9" i="14"/>
  <c r="I9" i="14"/>
  <c r="J19" i="14"/>
  <c r="I19" i="14"/>
  <c r="K19" i="14"/>
  <c r="K32" i="14"/>
  <c r="I32" i="14"/>
  <c r="J32" i="14"/>
  <c r="K16" i="14"/>
  <c r="I16" i="14"/>
  <c r="J16" i="14"/>
  <c r="I17" i="14"/>
  <c r="J17" i="14"/>
  <c r="K17" i="14"/>
  <c r="I13" i="14"/>
  <c r="J13" i="14"/>
  <c r="K13" i="14"/>
  <c r="K29" i="14"/>
  <c r="I29" i="14"/>
  <c r="J29" i="14"/>
  <c r="I22" i="14"/>
  <c r="J22" i="14"/>
  <c r="K22" i="14"/>
  <c r="I15" i="14"/>
  <c r="K15" i="14"/>
  <c r="J15" i="14"/>
  <c r="K11" i="14"/>
  <c r="J11" i="14"/>
  <c r="I11" i="14"/>
  <c r="K21" i="14"/>
  <c r="I21" i="14"/>
  <c r="J21" i="14"/>
  <c r="K4" i="14"/>
  <c r="J4" i="14"/>
  <c r="I4" i="14"/>
  <c r="K8" i="14"/>
  <c r="J8" i="14"/>
  <c r="I8" i="14"/>
  <c r="I26" i="14"/>
  <c r="J26" i="14"/>
  <c r="K26" i="14"/>
  <c r="J25" i="14"/>
  <c r="I25" i="14"/>
  <c r="K25" i="14"/>
  <c r="K14" i="14"/>
  <c r="J14" i="14"/>
  <c r="I14" i="14"/>
  <c r="AP41" i="9"/>
  <c r="AP42" i="9"/>
  <c r="R9" i="19" l="1"/>
  <c r="R12" i="19" s="1"/>
  <c r="C6" i="19" s="1"/>
  <c r="D6" i="19" s="1"/>
  <c r="E6" i="19" l="1"/>
  <c r="G6" i="19" s="1"/>
  <c r="R13" i="19"/>
  <c r="I3" i="14"/>
  <c r="O3" i="14" s="1" a="1"/>
  <c r="S17" i="14" s="1" a="1"/>
  <c r="S17" i="14" s="1"/>
  <c r="J3" i="14"/>
  <c r="P3" i="14" s="1" a="1"/>
  <c r="P3" i="14" s="1"/>
  <c r="AC2" i="14" a="1"/>
  <c r="AC2" i="14" s="1"/>
  <c r="K3" i="14"/>
  <c r="Q3" i="14" s="1" a="1"/>
  <c r="Q3" i="14" s="1"/>
  <c r="F6" i="19" l="1"/>
  <c r="H6" i="19" s="1"/>
  <c r="C7" i="19"/>
  <c r="D7" i="19" s="1"/>
  <c r="C19" i="19"/>
  <c r="D19" i="19" s="1"/>
  <c r="C8" i="19"/>
  <c r="D8" i="19" s="1"/>
  <c r="C20" i="19"/>
  <c r="D20" i="19" s="1"/>
  <c r="C17" i="19"/>
  <c r="D17" i="19" s="1"/>
  <c r="C9" i="19"/>
  <c r="D9" i="19" s="1"/>
  <c r="C21" i="19"/>
  <c r="D21" i="19" s="1"/>
  <c r="C10" i="19"/>
  <c r="D10" i="19" s="1"/>
  <c r="C22" i="19"/>
  <c r="D22" i="19" s="1"/>
  <c r="C18" i="19"/>
  <c r="D18" i="19" s="1"/>
  <c r="C11" i="19"/>
  <c r="D11" i="19" s="1"/>
  <c r="C23" i="19"/>
  <c r="D23" i="19" s="1"/>
  <c r="C12" i="19"/>
  <c r="D12" i="19" s="1"/>
  <c r="C24" i="19"/>
  <c r="D24" i="19" s="1"/>
  <c r="C13" i="19"/>
  <c r="D13" i="19" s="1"/>
  <c r="C25" i="19"/>
  <c r="D25" i="19" s="1"/>
  <c r="C14" i="19"/>
  <c r="D14" i="19" s="1"/>
  <c r="C15" i="19"/>
  <c r="D15" i="19" s="1"/>
  <c r="C16" i="19"/>
  <c r="D16" i="19" s="1"/>
  <c r="S7" i="19"/>
  <c r="S8" i="19"/>
  <c r="S6" i="19"/>
  <c r="S9" i="19"/>
  <c r="O3" i="14"/>
  <c r="S16" i="14" a="1"/>
  <c r="S16" i="14" s="1"/>
  <c r="AC4" i="14" a="1"/>
  <c r="AC4" i="14" s="1"/>
  <c r="X4" i="14" s="1"/>
  <c r="AC3" i="14" a="1"/>
  <c r="AC3" i="14" s="1"/>
  <c r="X3" i="14" s="1"/>
  <c r="I33" i="14"/>
  <c r="K33" i="14"/>
  <c r="AC5" i="14" a="1"/>
  <c r="AC5" i="14" s="1"/>
  <c r="X5" i="14" s="1"/>
  <c r="J33" i="14"/>
  <c r="N6" i="19" l="1"/>
  <c r="M6" i="19"/>
  <c r="E16" i="19"/>
  <c r="G16" i="19" s="1"/>
  <c r="E9" i="19"/>
  <c r="G9" i="19" s="1"/>
  <c r="E20" i="19"/>
  <c r="G20" i="19" s="1"/>
  <c r="E19" i="19"/>
  <c r="G19" i="19" s="1"/>
  <c r="E7" i="19"/>
  <c r="G7" i="19" s="1"/>
  <c r="E22" i="19"/>
  <c r="G22" i="19" s="1"/>
  <c r="E21" i="19"/>
  <c r="G21" i="19" s="1"/>
  <c r="E14" i="19"/>
  <c r="G14" i="19" s="1"/>
  <c r="E8" i="19"/>
  <c r="G8" i="19" s="1"/>
  <c r="E12" i="19"/>
  <c r="G12" i="19" s="1"/>
  <c r="E23" i="19"/>
  <c r="G23" i="19" s="1"/>
  <c r="E15" i="19"/>
  <c r="G15" i="19" s="1"/>
  <c r="E25" i="19"/>
  <c r="G25" i="19" s="1"/>
  <c r="E11" i="19"/>
  <c r="G11" i="19" s="1"/>
  <c r="E10" i="19"/>
  <c r="G10" i="19" s="1"/>
  <c r="E17" i="19"/>
  <c r="G17" i="19" s="1"/>
  <c r="E13" i="19"/>
  <c r="G13" i="19" s="1"/>
  <c r="E24" i="19"/>
  <c r="G24" i="19" s="1"/>
  <c r="E18" i="19"/>
  <c r="G18" i="19" s="1"/>
  <c r="S15" i="14" a="1"/>
  <c r="S15" i="14" s="1"/>
  <c r="S14" i="14" a="1"/>
  <c r="S14" i="14" s="1"/>
  <c r="S13" i="14" a="1"/>
  <c r="S13" i="14" s="1"/>
  <c r="S9" i="14" a="1"/>
  <c r="S9" i="14" s="1"/>
  <c r="S7" i="14" a="1"/>
  <c r="S7" i="14" s="1"/>
  <c r="S8" i="14" a="1"/>
  <c r="S8" i="14" s="1"/>
  <c r="S6" i="14" a="1"/>
  <c r="S6" i="14" s="1"/>
  <c r="S5" i="14" a="1"/>
  <c r="S5" i="14" s="1"/>
  <c r="S4" i="14" a="1"/>
  <c r="S4" i="14" s="1"/>
  <c r="S3" i="14" a="1"/>
  <c r="S3" i="14" s="1"/>
  <c r="O6" i="19" l="1"/>
  <c r="F21" i="19"/>
  <c r="H21" i="19" s="1"/>
  <c r="F24" i="19"/>
  <c r="H24" i="19" s="1"/>
  <c r="F22" i="19"/>
  <c r="H22" i="19" s="1"/>
  <c r="F13" i="19"/>
  <c r="H13" i="19" s="1"/>
  <c r="F7" i="19"/>
  <c r="H7" i="19" s="1"/>
  <c r="F11" i="19"/>
  <c r="H11" i="19" s="1"/>
  <c r="F14" i="19"/>
  <c r="H14" i="19" s="1"/>
  <c r="F16" i="19"/>
  <c r="F23" i="19"/>
  <c r="H23" i="19" s="1"/>
  <c r="F18" i="19"/>
  <c r="F17" i="19"/>
  <c r="H17" i="19" s="1"/>
  <c r="F19" i="19"/>
  <c r="H19" i="19" s="1"/>
  <c r="F10" i="19"/>
  <c r="H10" i="19" s="1"/>
  <c r="F20" i="19"/>
  <c r="H20" i="19" s="1"/>
  <c r="F9" i="19"/>
  <c r="H9" i="19" s="1"/>
  <c r="F25" i="19"/>
  <c r="F15" i="19"/>
  <c r="H15" i="19" s="1"/>
  <c r="F12" i="19"/>
  <c r="F8" i="19"/>
  <c r="N7" i="19"/>
  <c r="T3" i="14" a="1"/>
  <c r="T3" i="14" s="1"/>
  <c r="U3" i="14" s="1" a="1"/>
  <c r="U3" i="14" s="1"/>
  <c r="E120" i="12"/>
  <c r="B108" i="13" s="1"/>
  <c r="M10" i="19" l="1"/>
  <c r="H12" i="19"/>
  <c r="M12" i="19"/>
  <c r="H18" i="19"/>
  <c r="M7" i="19"/>
  <c r="H8" i="19"/>
  <c r="M16" i="19"/>
  <c r="H25" i="19"/>
  <c r="M11" i="19"/>
  <c r="H16" i="19"/>
  <c r="M15" i="19"/>
  <c r="M14" i="19"/>
  <c r="M9" i="19"/>
  <c r="M13" i="19"/>
  <c r="M8" i="19"/>
  <c r="N10" i="19"/>
  <c r="N11" i="19"/>
  <c r="N9" i="19"/>
  <c r="N16" i="19"/>
  <c r="N13" i="19"/>
  <c r="N15" i="19"/>
  <c r="O7" i="19"/>
  <c r="N8" i="19"/>
  <c r="O8" i="19" s="1"/>
  <c r="N14" i="19"/>
  <c r="N12" i="19"/>
  <c r="O11" i="19" l="1"/>
  <c r="O10" i="19"/>
  <c r="O9" i="19"/>
  <c r="O17" i="19" s="1"/>
  <c r="O16" i="19"/>
  <c r="O15" i="19"/>
  <c r="O12" i="19"/>
  <c r="O14" i="19"/>
  <c r="M17" i="19"/>
  <c r="O13" i="19"/>
  <c r="N17"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<sst xmlns="http://schemas.openxmlformats.org/spreadsheetml/2006/main" count="1261" uniqueCount="362">
  <si>
    <t>Disclaimer of Warranty</t>
  </si>
  <si>
    <t>The Peatland Code Emissions Lookup Table is distributed ‘as is’ and without warranties as to performance or merchantability or any other warranties whether expressed or implied.  In particular, there is no warranty for the predictions derived from the Emissions Lookup Table as they are regarded as indicative and not prescriptive.</t>
  </si>
  <si>
    <t>No responsibility for loss occasioned to any person or organisation acting, or refraining from action, as a result of any material in the product can be accepted by IUCN UK Peatland Programme or IUCN UK National Committee.</t>
  </si>
  <si>
    <r>
      <t xml:space="preserve">Peatland Code Emissions Calculator Guidance </t>
    </r>
    <r>
      <rPr>
        <b/>
        <sz val="12"/>
        <color rgb="FFB49200"/>
        <rFont val="Arial"/>
        <family val="2"/>
      </rPr>
      <t>(Version 2.1.1 January 2025)</t>
    </r>
  </si>
  <si>
    <t>Step 1</t>
  </si>
  <si>
    <r>
      <t>Fill in "</t>
    </r>
    <r>
      <rPr>
        <b/>
        <sz val="11"/>
        <color theme="1"/>
        <rFont val="Arial"/>
        <family val="2"/>
      </rPr>
      <t>Table 1"</t>
    </r>
    <r>
      <rPr>
        <i/>
        <sz val="11"/>
        <color theme="1"/>
        <rFont val="Arial"/>
        <family val="2"/>
      </rPr>
      <t xml:space="preserve"> </t>
    </r>
    <r>
      <rPr>
        <sz val="11"/>
        <color theme="1"/>
        <rFont val="Arial"/>
        <family val="2"/>
      </rPr>
      <t>of the "</t>
    </r>
    <r>
      <rPr>
        <b/>
        <sz val="11"/>
        <color theme="1"/>
        <rFont val="Arial"/>
        <family val="2"/>
      </rPr>
      <t xml:space="preserve">Emissions Calculator" </t>
    </r>
    <r>
      <rPr>
        <sz val="11"/>
        <color theme="1"/>
        <rFont val="Arial"/>
        <family val="2"/>
      </rPr>
      <t>tab. Note fill in an expected start date, this can be changed at a later state.</t>
    </r>
  </si>
  <si>
    <t>Step 2</t>
  </si>
  <si>
    <r>
      <t xml:space="preserve">For each Assessment Unit identified using the </t>
    </r>
    <r>
      <rPr>
        <b/>
        <i/>
        <sz val="11"/>
        <color theme="1"/>
        <rFont val="Arial"/>
        <family val="2"/>
      </rPr>
      <t>Peatland Code Field Protocol</t>
    </r>
    <r>
      <rPr>
        <sz val="11"/>
        <color theme="1"/>
        <rFont val="Arial"/>
        <family val="2"/>
      </rPr>
      <t xml:space="preserve"> enter the associated area in "</t>
    </r>
    <r>
      <rPr>
        <b/>
        <sz val="11"/>
        <color theme="1"/>
        <rFont val="Arial"/>
        <family val="2"/>
      </rPr>
      <t>Table 2"</t>
    </r>
    <r>
      <rPr>
        <sz val="11"/>
        <color theme="1"/>
        <rFont val="Arial"/>
        <family val="2"/>
      </rPr>
      <t xml:space="preserve"> of the "</t>
    </r>
    <r>
      <rPr>
        <b/>
        <sz val="11"/>
        <color theme="1"/>
        <rFont val="Arial"/>
        <family val="2"/>
      </rPr>
      <t>Emissions Calculator"</t>
    </r>
    <r>
      <rPr>
        <sz val="11"/>
        <color theme="1"/>
        <rFont val="Arial"/>
        <family val="2"/>
      </rPr>
      <t xml:space="preserve"> and select the applicable pre-restoration (baseline) condition category from the dropdown menu. </t>
    </r>
  </si>
  <si>
    <t>Step 3</t>
  </si>
  <si>
    <r>
      <t xml:space="preserve">Once values are entered in </t>
    </r>
    <r>
      <rPr>
        <b/>
        <sz val="11"/>
        <color theme="1"/>
        <rFont val="Arial"/>
        <family val="2"/>
      </rPr>
      <t>Table 2</t>
    </r>
    <r>
      <rPr>
        <i/>
        <sz val="11"/>
        <color theme="1"/>
        <rFont val="Arial"/>
        <family val="2"/>
      </rPr>
      <t xml:space="preserve"> </t>
    </r>
    <r>
      <rPr>
        <sz val="11"/>
        <color theme="1"/>
        <rFont val="Arial"/>
        <family val="2"/>
      </rPr>
      <t xml:space="preserve">all other tables will be filled in automatically and for each assessment unit the cumulative net emissions reduction of the project, relative to the baseline and adjusted for leakage, conservative buffer and carbon costs of the project, will be automatically calculated at 5 yearly intervals and divided into the proportion contributed to the </t>
    </r>
    <r>
      <rPr>
        <b/>
        <sz val="11"/>
        <color theme="1"/>
        <rFont val="Arial"/>
        <family val="2"/>
      </rPr>
      <t>"Risk Buffer"</t>
    </r>
    <r>
      <rPr>
        <sz val="11"/>
        <color theme="1"/>
        <rFont val="Arial"/>
        <family val="2"/>
      </rPr>
      <t xml:space="preserve"> and the proportion claimable by the project (outputted in the </t>
    </r>
    <r>
      <rPr>
        <b/>
        <sz val="11"/>
        <color theme="1"/>
        <rFont val="Arial"/>
        <family val="2"/>
      </rPr>
      <t>"Outputs"</t>
    </r>
    <r>
      <rPr>
        <sz val="11"/>
        <color theme="1"/>
        <rFont val="Arial"/>
        <family val="2"/>
      </rPr>
      <t xml:space="preserve"> sheet). </t>
    </r>
    <r>
      <rPr>
        <b/>
        <sz val="11"/>
        <color theme="1"/>
        <rFont val="Arial"/>
        <family val="2"/>
      </rPr>
      <t>"Table 6"</t>
    </r>
    <r>
      <rPr>
        <sz val="11"/>
        <color theme="1"/>
        <rFont val="Arial"/>
        <family val="2"/>
      </rPr>
      <t xml:space="preserve"> in the</t>
    </r>
    <r>
      <rPr>
        <b/>
        <sz val="11"/>
        <color theme="1"/>
        <rFont val="Arial"/>
        <family val="2"/>
      </rPr>
      <t xml:space="preserve"> "Outputs"</t>
    </r>
    <r>
      <rPr>
        <sz val="11"/>
        <color theme="1"/>
        <rFont val="Arial"/>
        <family val="2"/>
      </rPr>
      <t xml:space="preserve"> sheet automatically calculates the vintages (blocks of verified units), however if the last vintage is less then 10 years this block has to be calculated manually. "</t>
    </r>
    <r>
      <rPr>
        <b/>
        <sz val="11"/>
        <rFont val="Arial"/>
        <family val="2"/>
      </rPr>
      <t>Table 5</t>
    </r>
    <r>
      <rPr>
        <i/>
        <sz val="11"/>
        <color theme="1"/>
        <rFont val="Arial"/>
        <family val="2"/>
      </rPr>
      <t xml:space="preserve"> </t>
    </r>
    <r>
      <rPr>
        <b/>
        <sz val="11"/>
        <color theme="1"/>
        <rFont val="Arial"/>
        <family val="2"/>
      </rPr>
      <t>and 6"</t>
    </r>
    <r>
      <rPr>
        <sz val="11"/>
        <color theme="1"/>
        <rFont val="Arial"/>
        <family val="2"/>
      </rPr>
      <t xml:space="preserve"> should be adjusted to reflect the project duration.</t>
    </r>
  </si>
  <si>
    <t>Step 5</t>
  </si>
  <si>
    <r>
      <t>Cut and past "</t>
    </r>
    <r>
      <rPr>
        <b/>
        <sz val="11"/>
        <color theme="1"/>
        <rFont val="Arial"/>
        <family val="2"/>
      </rPr>
      <t>Table 2"</t>
    </r>
    <r>
      <rPr>
        <sz val="11"/>
        <color theme="1"/>
        <rFont val="Arial"/>
        <family val="2"/>
      </rPr>
      <t xml:space="preserve"> and "</t>
    </r>
    <r>
      <rPr>
        <b/>
        <sz val="11"/>
        <color theme="1"/>
        <rFont val="Arial"/>
        <family val="2"/>
      </rPr>
      <t xml:space="preserve">Table 6" </t>
    </r>
    <r>
      <rPr>
        <sz val="11"/>
        <color theme="1"/>
        <rFont val="Arial"/>
        <family val="2"/>
      </rPr>
      <t xml:space="preserve">into the applicable sections of the </t>
    </r>
    <r>
      <rPr>
        <i/>
        <sz val="11"/>
        <color theme="1"/>
        <rFont val="Arial"/>
        <family val="2"/>
      </rPr>
      <t>Project Design Document.</t>
    </r>
  </si>
  <si>
    <t>Notes</t>
  </si>
  <si>
    <t>&gt;</t>
  </si>
  <si>
    <r>
      <t xml:space="preserve">Emissions figures within the </t>
    </r>
    <r>
      <rPr>
        <i/>
        <sz val="11"/>
        <color theme="1"/>
        <rFont val="Arial"/>
        <family val="2"/>
      </rPr>
      <t>Emissions Lookup Table</t>
    </r>
    <r>
      <rPr>
        <sz val="11"/>
        <color theme="1"/>
        <rFont val="Arial"/>
        <family val="2"/>
      </rPr>
      <t xml:space="preserve"> come from Evans, C., Artz, R., Burden, A., Clilverd, H., Freeman, B., Heinemeyer, A., Lindsay, R., Morrison, R., Potts, J., Reed, M. &amp; Williamson, J. (2022, updated 2023) Aligning the Peatland Code with the UK peatland inventory.</t>
    </r>
  </si>
  <si>
    <r>
      <t>A</t>
    </r>
    <r>
      <rPr>
        <b/>
        <sz val="11"/>
        <color theme="1"/>
        <rFont val="Arial"/>
        <family val="2"/>
      </rPr>
      <t xml:space="preserve"> 5% reduction</t>
    </r>
    <r>
      <rPr>
        <sz val="11"/>
        <color theme="1"/>
        <rFont val="Arial"/>
        <family val="2"/>
      </rPr>
      <t xml:space="preserve"> is made to gross emissions reduction to ensure the model is conservative in it's predictions.</t>
    </r>
  </si>
  <si>
    <t>"Modified" is not recorded as an eligible baseline condition,as PIUs will not initially be set up for that condition category (see Peatland Code for guidance).</t>
  </si>
  <si>
    <t xml:space="preserve">SDG Goals </t>
  </si>
  <si>
    <r>
      <t xml:space="preserve">The Peatland Code projects align with SDG Goal 13 </t>
    </r>
    <r>
      <rPr>
        <i/>
        <sz val="11"/>
        <color theme="1"/>
        <rFont val="Arial"/>
        <family val="2"/>
      </rPr>
      <t>Take urgent action to combat climate change and its impacts</t>
    </r>
    <r>
      <rPr>
        <sz val="11"/>
        <color theme="1"/>
        <rFont val="Arial"/>
        <family val="2"/>
      </rPr>
      <t xml:space="preserve">. This emissions calculator contributes to target </t>
    </r>
    <r>
      <rPr>
        <i/>
        <sz val="11"/>
        <color theme="1"/>
        <rFont val="Arial"/>
        <family val="2"/>
      </rPr>
      <t xml:space="preserve">13.2.2 Total greenhouse gas emissions per year. </t>
    </r>
    <r>
      <rPr>
        <sz val="11"/>
        <color theme="1"/>
        <rFont val="Arial"/>
        <family val="2"/>
      </rPr>
      <t xml:space="preserve">The total amount of emission reductions shown in Table 6 refers to project emissions + leakage emissions and risk buffer contribution. This can then be used to report in the UK Government’s Environmental Reporting Guidelines which contribute to the UK SDG reporting. </t>
    </r>
  </si>
  <si>
    <r>
      <t xml:space="preserve">University of Cumbria and Barker &amp; Bland Ltd. Carbon Cost Calculator Guidance </t>
    </r>
    <r>
      <rPr>
        <b/>
        <sz val="12"/>
        <color rgb="FFB49200"/>
        <rFont val="Arial"/>
        <family val="2"/>
      </rPr>
      <t>(Version 1, January 2025)</t>
    </r>
  </si>
  <si>
    <t>User Instructions</t>
  </si>
  <si>
    <t>Users can edit any white cell within the black bounds to make selections or input data.</t>
  </si>
  <si>
    <r>
      <t>Completing each row of "</t>
    </r>
    <r>
      <rPr>
        <b/>
        <sz val="11"/>
        <color rgb="FF000000"/>
        <rFont val="Arial"/>
        <family val="2"/>
      </rPr>
      <t>Table 1 - Gully/Grip Blocking Techniques"</t>
    </r>
    <r>
      <rPr>
        <sz val="11"/>
        <color rgb="FF000000"/>
        <rFont val="Arial"/>
        <family val="2"/>
      </rPr>
      <t>, "</t>
    </r>
    <r>
      <rPr>
        <b/>
        <sz val="11"/>
        <color rgb="FF000000"/>
        <rFont val="Arial"/>
        <family val="2"/>
      </rPr>
      <t>Table 2 - Bunding Techniques"</t>
    </r>
    <r>
      <rPr>
        <sz val="11"/>
        <color rgb="FF000000"/>
        <rFont val="Arial"/>
        <family val="2"/>
      </rPr>
      <t>, or "</t>
    </r>
    <r>
      <rPr>
        <b/>
        <sz val="11"/>
        <color rgb="FF000000"/>
        <rFont val="Arial"/>
        <family val="2"/>
      </rPr>
      <t>Table 3 - Revegetation Techniques"</t>
    </r>
    <r>
      <rPr>
        <b/>
        <i/>
        <sz val="11"/>
        <color rgb="FF000000"/>
        <rFont val="Arial"/>
        <family val="2"/>
      </rPr>
      <t xml:space="preserve"> </t>
    </r>
    <r>
      <rPr>
        <sz val="11"/>
        <color rgb="FF000000"/>
        <rFont val="Arial"/>
        <family val="2"/>
      </rPr>
      <t>sections is not mandatory. However, it's ideal to finish an entire row of selections once started.</t>
    </r>
  </si>
  <si>
    <r>
      <t>Dropdown lists facilitate selections. For sections including the terms "</t>
    </r>
    <r>
      <rPr>
        <b/>
        <sz val="11"/>
        <color rgb="FF000000"/>
        <rFont val="Arial"/>
        <family val="2"/>
      </rPr>
      <t>Amount"</t>
    </r>
    <r>
      <rPr>
        <sz val="11"/>
        <color rgb="FF000000"/>
        <rFont val="Arial"/>
        <family val="2"/>
      </rPr>
      <t>, "</t>
    </r>
    <r>
      <rPr>
        <b/>
        <sz val="11"/>
        <color rgb="FF000000"/>
        <rFont val="Arial"/>
        <family val="2"/>
      </rPr>
      <t>(km)"</t>
    </r>
    <r>
      <rPr>
        <sz val="11"/>
        <color rgb="FF000000"/>
        <rFont val="Arial"/>
        <family val="2"/>
      </rPr>
      <t>, "</t>
    </r>
    <r>
      <rPr>
        <b/>
        <sz val="11"/>
        <color rgb="FF000000"/>
        <rFont val="Arial"/>
        <family val="2"/>
      </rPr>
      <t>Number"</t>
    </r>
    <r>
      <rPr>
        <sz val="11"/>
        <color rgb="FF000000"/>
        <rFont val="Arial"/>
        <family val="2"/>
      </rPr>
      <t>, or "</t>
    </r>
    <r>
      <rPr>
        <b/>
        <sz val="11"/>
        <color rgb="FF000000"/>
        <rFont val="Arial"/>
        <family val="2"/>
      </rPr>
      <t>Days"</t>
    </r>
    <r>
      <rPr>
        <sz val="11"/>
        <color rgb="FF000000"/>
        <rFont val="Arial"/>
        <family val="2"/>
      </rPr>
      <t>, users must input numerical data.</t>
    </r>
  </si>
  <si>
    <t>In case of missing data, users have the option to use estimates or averages, especially concerning travel distances.</t>
  </si>
  <si>
    <t>An example of a stone dam intervention technique is completed - This can be edited by the user.</t>
  </si>
  <si>
    <t>Table 1 - Gully/Grip Blocking Techniques</t>
  </si>
  <si>
    <t>Calculations are performed per intervention (i.e., amount).</t>
  </si>
  <si>
    <r>
      <t xml:space="preserve">"Dimensions" </t>
    </r>
    <r>
      <rPr>
        <sz val="11"/>
        <color rgb="FF000000"/>
        <rFont val="Arial"/>
        <family val="2"/>
      </rPr>
      <t>indicate the site prescriptions concerning gully/grip/drain size.</t>
    </r>
  </si>
  <si>
    <r>
      <rPr>
        <b/>
        <sz val="11"/>
        <color rgb="FF000000"/>
        <rFont val="Arial"/>
        <family val="2"/>
      </rPr>
      <t>"Material Source - Site Return (km)"</t>
    </r>
    <r>
      <rPr>
        <b/>
        <i/>
        <sz val="11"/>
        <color rgb="FF000000"/>
        <rFont val="Arial"/>
        <family val="2"/>
      </rPr>
      <t xml:space="preserve"> </t>
    </r>
    <r>
      <rPr>
        <sz val="11"/>
        <color rgb="FF000000"/>
        <rFont val="Arial"/>
        <family val="2"/>
      </rPr>
      <t>represents the return (round-trip) distance in kilometers for exotic raw materials sourced, including translocated heather. For local materials, it's recommended to either leave the cells blank or input 0.</t>
    </r>
  </si>
  <si>
    <t>Table 2 - Bunding Techniques</t>
  </si>
  <si>
    <t>Calculations are conducted per intervention (i.e., amount).</t>
  </si>
  <si>
    <r>
      <rPr>
        <b/>
        <sz val="11"/>
        <color theme="1"/>
        <rFont val="Arial"/>
        <family val="2"/>
      </rPr>
      <t>"Dimensions"</t>
    </r>
    <r>
      <rPr>
        <sz val="11"/>
        <color theme="1"/>
        <rFont val="Arial"/>
        <family val="2"/>
      </rPr>
      <t xml:space="preserve"> specify the site prescriptions for bunding areas.</t>
    </r>
  </si>
  <si>
    <r>
      <t xml:space="preserve">Refer to the above description for </t>
    </r>
    <r>
      <rPr>
        <b/>
        <sz val="11"/>
        <color theme="1"/>
        <rFont val="Arial"/>
        <family val="2"/>
      </rPr>
      <t>"Material Source - Site Return (km)"</t>
    </r>
    <r>
      <rPr>
        <sz val="11"/>
        <color theme="1"/>
        <rFont val="Arial"/>
        <family val="2"/>
      </rPr>
      <t>.</t>
    </r>
  </si>
  <si>
    <t>Table 3 - Revegetation Techniques</t>
  </si>
  <si>
    <r>
      <t>Calculations are conducted per intervention (i.e., amount), per meter (linear), or per hectare (area), as specified under the "</t>
    </r>
    <r>
      <rPr>
        <b/>
        <sz val="11"/>
        <color rgb="FF000000"/>
        <rFont val="Arial"/>
        <family val="2"/>
      </rPr>
      <t>Intervention Selection"</t>
    </r>
    <r>
      <rPr>
        <b/>
        <i/>
        <sz val="11"/>
        <color rgb="FF000000"/>
        <rFont val="Arial"/>
        <family val="2"/>
      </rPr>
      <t xml:space="preserve"> </t>
    </r>
    <r>
      <rPr>
        <sz val="11"/>
        <color rgb="FF000000"/>
        <rFont val="Arial"/>
        <family val="2"/>
      </rPr>
      <t>field.</t>
    </r>
  </si>
  <si>
    <r>
      <rPr>
        <b/>
        <sz val="11"/>
        <color theme="1"/>
        <rFont val="Arial"/>
        <family val="2"/>
      </rPr>
      <t>"Units"</t>
    </r>
    <r>
      <rPr>
        <sz val="11"/>
        <color theme="1"/>
        <rFont val="Arial"/>
        <family val="2"/>
      </rPr>
      <t xml:space="preserve"> indicate the measurement units to be used in the calculation.</t>
    </r>
  </si>
  <si>
    <r>
      <t xml:space="preserve">Refer to the description under </t>
    </r>
    <r>
      <rPr>
        <b/>
        <sz val="11"/>
        <color theme="1"/>
        <rFont val="Arial"/>
        <family val="2"/>
      </rPr>
      <t>"Table 1 - Gully/Grip Blocking Techniques"</t>
    </r>
    <r>
      <rPr>
        <sz val="11"/>
        <color theme="1"/>
        <rFont val="Arial"/>
        <family val="2"/>
      </rPr>
      <t xml:space="preserve"> for </t>
    </r>
    <r>
      <rPr>
        <b/>
        <sz val="11"/>
        <color theme="1"/>
        <rFont val="Arial"/>
        <family val="2"/>
      </rPr>
      <t>"Material Source - Site Return (km)"</t>
    </r>
    <r>
      <rPr>
        <sz val="11"/>
        <color theme="1"/>
        <rFont val="Arial"/>
        <family val="2"/>
      </rPr>
      <t>.</t>
    </r>
  </si>
  <si>
    <t>Table 4 - Project Details</t>
  </si>
  <si>
    <r>
      <rPr>
        <b/>
        <sz val="11"/>
        <color rgb="FF000000"/>
        <rFont val="Arial"/>
        <family val="2"/>
      </rPr>
      <t>"Organisation Base - Site Return (km)":</t>
    </r>
    <r>
      <rPr>
        <b/>
        <i/>
        <sz val="11"/>
        <color rgb="FF000000"/>
        <rFont val="Arial"/>
        <family val="2"/>
      </rPr>
      <t xml:space="preserve"> </t>
    </r>
    <r>
      <rPr>
        <sz val="11"/>
        <color rgb="FF000000"/>
        <rFont val="Arial"/>
        <family val="2"/>
      </rPr>
      <t>Input the round-trip distance in kilometers from the organisation’s base to the restoration site.</t>
    </r>
  </si>
  <si>
    <r>
      <t xml:space="preserve">"Number of Passenger Vehicles": </t>
    </r>
    <r>
      <rPr>
        <sz val="11"/>
        <color rgb="FF000000"/>
        <rFont val="Arial"/>
        <family val="2"/>
      </rPr>
      <t xml:space="preserve">Enter the total number of 4x4s attending the site, transporting both workers and trailer-towed Low-Pressure Ground Vehicles (LPGVs) such as softracks and argocats. After selecting the number of softracks and argocats, the proportion of 4x4s towing this machinery will be factored into the calculation (see </t>
    </r>
    <r>
      <rPr>
        <b/>
        <sz val="11"/>
        <color rgb="FF000000"/>
        <rFont val="Arial"/>
        <family val="2"/>
      </rPr>
      <t>"Carbon Cost Assumptions"</t>
    </r>
    <r>
      <rPr>
        <sz val="11"/>
        <color rgb="FF000000"/>
        <rFont val="Arial"/>
        <family val="2"/>
      </rPr>
      <t xml:space="preserve"> sheet).</t>
    </r>
  </si>
  <si>
    <r>
      <rPr>
        <b/>
        <sz val="11"/>
        <color theme="1"/>
        <rFont val="Arial"/>
        <family val="2"/>
      </rPr>
      <t>"Number of Argocats":</t>
    </r>
    <r>
      <rPr>
        <sz val="11"/>
        <color theme="1"/>
        <rFont val="Arial"/>
        <family val="2"/>
      </rPr>
      <t xml:space="preserve"> Enter the number of trailer-towed argocats being transported to the site.</t>
    </r>
  </si>
  <si>
    <r>
      <rPr>
        <b/>
        <sz val="11"/>
        <color rgb="FF000000"/>
        <rFont val="Arial"/>
        <family val="2"/>
      </rPr>
      <t>"Number of Softracks":</t>
    </r>
    <r>
      <rPr>
        <b/>
        <i/>
        <sz val="11"/>
        <color rgb="FF000000"/>
        <rFont val="Arial"/>
        <family val="2"/>
      </rPr>
      <t xml:space="preserve"> </t>
    </r>
    <r>
      <rPr>
        <sz val="11"/>
        <color rgb="FF000000"/>
        <rFont val="Arial"/>
        <family val="2"/>
      </rPr>
      <t>Enter the number of trailer-towed softracks being transported to the site</t>
    </r>
  </si>
  <si>
    <r>
      <t xml:space="preserve">"Number of Excavators": </t>
    </r>
    <r>
      <rPr>
        <sz val="11"/>
        <color rgb="FF000000"/>
        <rFont val="Arial"/>
        <family val="2"/>
      </rPr>
      <t>Enter the number of 7-14t excavators being transported to the site.</t>
    </r>
  </si>
  <si>
    <r>
      <t xml:space="preserve">"Number of Other LPGVs": </t>
    </r>
    <r>
      <rPr>
        <sz val="11"/>
        <color rgb="FF000000"/>
        <rFont val="Arial"/>
        <family val="2"/>
      </rPr>
      <t>Enter the number of LPGVs used for e.g., spreading being transported to the site.</t>
    </r>
  </si>
  <si>
    <r>
      <rPr>
        <b/>
        <sz val="11"/>
        <color theme="1"/>
        <rFont val="Arial"/>
        <family val="2"/>
      </rPr>
      <t>"Number of Helicopters":</t>
    </r>
    <r>
      <rPr>
        <sz val="11"/>
        <color theme="1"/>
        <rFont val="Arial"/>
        <family val="2"/>
      </rPr>
      <t xml:space="preserve"> Enter the number of helicopters that have been quoted for.</t>
    </r>
  </si>
  <si>
    <r>
      <rPr>
        <b/>
        <sz val="11"/>
        <color rgb="FF000000"/>
        <rFont val="Arial"/>
        <family val="2"/>
      </rPr>
      <t>"Helicopter Source - Site Return (km)":</t>
    </r>
    <r>
      <rPr>
        <b/>
        <i/>
        <sz val="11"/>
        <color rgb="FF000000"/>
        <rFont val="Arial"/>
        <family val="2"/>
      </rPr>
      <t xml:space="preserve"> </t>
    </r>
    <r>
      <rPr>
        <sz val="11"/>
        <color rgb="FF000000"/>
        <rFont val="Arial"/>
        <family val="2"/>
      </rPr>
      <t>Input the round-trip distance in kilometers from the helicopter’s depot to the site.</t>
    </r>
  </si>
  <si>
    <r>
      <t xml:space="preserve">"Number of Ground Workers": </t>
    </r>
    <r>
      <rPr>
        <sz val="11"/>
        <color rgb="FF000000"/>
        <rFont val="Arial"/>
        <family val="2"/>
      </rPr>
      <t xml:space="preserve">Enter the number of individual workers on the ground specifically working on hand-installed procedures, </t>
    </r>
    <r>
      <rPr>
        <b/>
        <i/>
        <sz val="11"/>
        <color rgb="FF000000"/>
        <rFont val="Arial"/>
        <family val="2"/>
      </rPr>
      <t>not in machinery.</t>
    </r>
  </si>
  <si>
    <r>
      <rPr>
        <b/>
        <sz val="11"/>
        <color rgb="FF000000"/>
        <rFont val="Arial"/>
        <family val="2"/>
      </rPr>
      <t>"Distance from Nearest Road Access Point to Site (km)":</t>
    </r>
    <r>
      <rPr>
        <b/>
        <i/>
        <sz val="11"/>
        <color rgb="FF000000"/>
        <rFont val="Arial"/>
        <family val="2"/>
      </rPr>
      <t xml:space="preserve"> </t>
    </r>
    <r>
      <rPr>
        <sz val="11"/>
        <color rgb="FF000000"/>
        <rFont val="Arial"/>
        <family val="2"/>
      </rPr>
      <t>Enter the round-trip distance in kilometers from the nearest road access point to the center of the restoration site.</t>
    </r>
  </si>
  <si>
    <t>Table 5 - Project Timescale</t>
  </si>
  <si>
    <r>
      <rPr>
        <b/>
        <sz val="11"/>
        <color theme="1"/>
        <rFont val="Arial"/>
        <family val="2"/>
      </rPr>
      <t>"Number of Additional Days to Match Actual":</t>
    </r>
    <r>
      <rPr>
        <sz val="11"/>
        <color theme="1"/>
        <rFont val="Arial"/>
        <family val="2"/>
      </rPr>
      <t xml:space="preserve"> Enter the number of additional days beyond the </t>
    </r>
    <r>
      <rPr>
        <b/>
        <sz val="11"/>
        <color theme="1"/>
        <rFont val="Arial"/>
        <family val="2"/>
      </rPr>
      <t>"Estimated Project Delivery Time Based on Selection"</t>
    </r>
    <r>
      <rPr>
        <sz val="11"/>
        <color theme="1"/>
        <rFont val="Arial"/>
        <family val="2"/>
      </rPr>
      <t xml:space="preserve"> to ensure the </t>
    </r>
    <r>
      <rPr>
        <b/>
        <sz val="11"/>
        <color theme="1"/>
        <rFont val="Arial"/>
        <family val="2"/>
      </rPr>
      <t xml:space="preserve">"Actual Project Timescale (Days)" </t>
    </r>
    <r>
      <rPr>
        <sz val="11"/>
        <color theme="1"/>
        <rFont val="Arial"/>
        <family val="2"/>
      </rPr>
      <t xml:space="preserve">accurately reflects the project’s total duration. This accounts for other time-related considerations within the project (refer to the </t>
    </r>
    <r>
      <rPr>
        <b/>
        <sz val="11"/>
        <color theme="1"/>
        <rFont val="Arial"/>
        <family val="2"/>
      </rPr>
      <t>"Carbon Cost Assumptions"</t>
    </r>
    <r>
      <rPr>
        <sz val="11"/>
        <color theme="1"/>
        <rFont val="Arial"/>
        <family val="2"/>
      </rPr>
      <t xml:space="preserve"> sheet).</t>
    </r>
  </si>
  <si>
    <t>Authors</t>
  </si>
  <si>
    <t>Jack Brennand, PhD Researcher, Institute of Science and Environment, University of Cumbria</t>
  </si>
  <si>
    <t>Jane Barker, Professor of Practice, Institute of Science and Environment, University of Cumbria</t>
  </si>
  <si>
    <t>Simon Carr, Associate Professor in Geography, Institute of Science and Environment, University of Cumbria</t>
  </si>
  <si>
    <t>Helen Manns, Director of the Institute of Science and Environment, University of Cumbria</t>
  </si>
  <si>
    <t xml:space="preserve">Acknowledgements </t>
  </si>
  <si>
    <t xml:space="preserve">This calculator is a development from a PhD project: "Evaluating UK Blanket Peatland Restoration: Subsurface Structure, Functions, and Carbon Savings", funded by the European Regional Development Fund (ERDF) funded ECO-I NW programme, in partnership with Barker &amp; Bland Ltd. The calculator toolkit was funded by Innovate UK AKT project 1382: "Incorporating Carbon Costs and Benefits into Peatland Restoration Projects in the UK". </t>
  </si>
  <si>
    <r>
      <t xml:space="preserve">Peatland Code Emissions Calculator </t>
    </r>
    <r>
      <rPr>
        <b/>
        <sz val="12"/>
        <color rgb="FFB49200"/>
        <rFont val="Arial"/>
        <family val="2"/>
      </rPr>
      <t>(Version 2.1.1, January 2025)</t>
    </r>
  </si>
  <si>
    <t>Table 1</t>
  </si>
  <si>
    <t>Table 2</t>
  </si>
  <si>
    <t>Table 3</t>
  </si>
  <si>
    <t>Table 4</t>
  </si>
  <si>
    <t>Project Name</t>
  </si>
  <si>
    <t>Version 2 EF's with AR5</t>
  </si>
  <si>
    <t>Assessment Unit</t>
  </si>
  <si>
    <t>Area (ha)</t>
  </si>
  <si>
    <t xml:space="preserve">Pre-Restoration (Baseline) Condition Category </t>
  </si>
  <si>
    <t xml:space="preserve">Post-Restoration Condition Category </t>
  </si>
  <si>
    <t>Period (Year)</t>
  </si>
  <si>
    <t>Assessment Unit Cumulative Emission Reduction (tCO2e/ha) - from lookup tables</t>
  </si>
  <si>
    <t>Assessment Unit Emission Reduction (tCO2e) - Cumulative Emission Reduction (tCO2e/ha) x Area (ha)</t>
  </si>
  <si>
    <t>Person completing calculation</t>
  </si>
  <si>
    <t>AU1</t>
  </si>
  <si>
    <t>AU2</t>
  </si>
  <si>
    <t>AU3</t>
  </si>
  <si>
    <t>AU4</t>
  </si>
  <si>
    <t>AU5</t>
  </si>
  <si>
    <t>AU6</t>
  </si>
  <si>
    <t>AU7</t>
  </si>
  <si>
    <t>AU8</t>
  </si>
  <si>
    <t>AU9</t>
  </si>
  <si>
    <t>AU10</t>
  </si>
  <si>
    <t>Total Net Area</t>
  </si>
  <si>
    <t>Date calculation completed</t>
  </si>
  <si>
    <t>Actively Eroding: hagg gully</t>
  </si>
  <si>
    <t>Revegetated</t>
  </si>
  <si>
    <t>Project Start date (end of restoration &amp; start of carbon accounting)</t>
  </si>
  <si>
    <t>Actively Eroding: Flat Bare</t>
  </si>
  <si>
    <t xml:space="preserve">  0-5</t>
  </si>
  <si>
    <t>Project Duration (yrs)</t>
  </si>
  <si>
    <t>Drained: Hagg/Gully</t>
  </si>
  <si>
    <t>Rewetted Modified Bog</t>
  </si>
  <si>
    <t xml:space="preserve">  5-10</t>
  </si>
  <si>
    <t>Leakage (tCO2e/yr)</t>
  </si>
  <si>
    <t xml:space="preserve"> 10-15</t>
  </si>
  <si>
    <t xml:space="preserve"> 15-20</t>
  </si>
  <si>
    <t xml:space="preserve"> 20-25</t>
  </si>
  <si>
    <t xml:space="preserve"> 25-30</t>
  </si>
  <si>
    <t xml:space="preserve"> 30-35</t>
  </si>
  <si>
    <t xml:space="preserve"> 35-40</t>
  </si>
  <si>
    <t xml:space="preserve"> 40-45</t>
  </si>
  <si>
    <t>Total</t>
  </si>
  <si>
    <t xml:space="preserve"> 45-50</t>
  </si>
  <si>
    <t xml:space="preserve"> 50-55</t>
  </si>
  <si>
    <t xml:space="preserve"> 55-60</t>
  </si>
  <si>
    <t xml:space="preserve"> 60-65</t>
  </si>
  <si>
    <t xml:space="preserve"> 65-70</t>
  </si>
  <si>
    <t xml:space="preserve"> 70-75</t>
  </si>
  <si>
    <t xml:space="preserve"> 75-80</t>
  </si>
  <si>
    <t xml:space="preserve"> 80-85</t>
  </si>
  <si>
    <t xml:space="preserve"> 85-90</t>
  </si>
  <si>
    <t xml:space="preserve"> 90-95</t>
  </si>
  <si>
    <t xml:space="preserve"> 95-100</t>
  </si>
  <si>
    <r>
      <t xml:space="preserve">University of Cumbria and Barker &amp; Bland Ltd. Carbon Cost Calculator </t>
    </r>
    <r>
      <rPr>
        <b/>
        <sz val="12"/>
        <color rgb="FFB49200"/>
        <rFont val="Arial"/>
        <family val="2"/>
      </rPr>
      <t>(Version 1, January 2025)</t>
    </r>
  </si>
  <si>
    <t>Intervention</t>
  </si>
  <si>
    <t>Dimensions</t>
  </si>
  <si>
    <t>Amount</t>
  </si>
  <si>
    <t>LOOKUP</t>
  </si>
  <si>
    <t>Raw Material Carbon Cost (kg)</t>
  </si>
  <si>
    <t>Material Source - Site Return (km)</t>
  </si>
  <si>
    <t>Material Transport Carbon Cost (kg)</t>
  </si>
  <si>
    <t>Installation Option</t>
  </si>
  <si>
    <t>Units</t>
  </si>
  <si>
    <t>Number</t>
  </si>
  <si>
    <t>Organisation Base - Site Return (km)</t>
  </si>
  <si>
    <t>Estimated Project Delivery Time Based on Selection</t>
  </si>
  <si>
    <t>Install Carbon Cost (kg)</t>
  </si>
  <si>
    <t xml:space="preserve">Dimensions LOOKUP </t>
  </si>
  <si>
    <t xml:space="preserve">Intervention LOOKUP </t>
  </si>
  <si>
    <t>Stone Dam</t>
  </si>
  <si>
    <t>&lt;1m (1 unit)</t>
  </si>
  <si>
    <t>Helicopter - Assisted</t>
  </si>
  <si>
    <t>Number of Passenger Vehicles</t>
  </si>
  <si>
    <t xml:space="preserve">Number of Additional Days to Match Actual </t>
  </si>
  <si>
    <t>Number of Argocats</t>
  </si>
  <si>
    <t>Actual Project Timescale (Days)</t>
  </si>
  <si>
    <t>Number of Softracks</t>
  </si>
  <si>
    <t>Number of Excavators</t>
  </si>
  <si>
    <t>Number of Other LPGVs (E.g., Tractor + Cutter/Spreader)</t>
  </si>
  <si>
    <t xml:space="preserve">Number of Helicopters </t>
  </si>
  <si>
    <t>Helicopter Source - Site Return (km)</t>
  </si>
  <si>
    <t>Number of Ground Workers</t>
  </si>
  <si>
    <t>Distance from Nearest Road Access Point to Site (km)</t>
  </si>
  <si>
    <t>Aspect</t>
  </si>
  <si>
    <t>Carbon Cost (kg)</t>
  </si>
  <si>
    <t>Final Cost (kg)</t>
  </si>
  <si>
    <t>Daily Site Movement (Argocat/Softrack)</t>
  </si>
  <si>
    <t>Daily Transport (Argocat/Softrack)</t>
  </si>
  <si>
    <t>Passenger Vehicle (4x4)</t>
  </si>
  <si>
    <t>Argocat</t>
  </si>
  <si>
    <t>Softrack</t>
  </si>
  <si>
    <t>Excavator</t>
  </si>
  <si>
    <t>Other LPGV (i.e., Tractor)</t>
  </si>
  <si>
    <t>Helicopter</t>
  </si>
  <si>
    <t>Est. Time (h)</t>
  </si>
  <si>
    <r>
      <t xml:space="preserve">Emissions &amp; Carbon Costs Calculator </t>
    </r>
    <r>
      <rPr>
        <b/>
        <sz val="12"/>
        <color rgb="FFB49200"/>
        <rFont val="Arial"/>
        <family val="2"/>
      </rPr>
      <t>(Version 2.1.1, January 2025)</t>
    </r>
  </si>
  <si>
    <t>Table 5 - Cumulative Emissions Reduction Over Project Duration (tCO2e)</t>
  </si>
  <si>
    <t>Table 6 - Final Claimable Emissions Outputs per vintage</t>
  </si>
  <si>
    <t>Table 7 - Project Carbon Costs Breakdown</t>
  </si>
  <si>
    <t>Gross Emissions Reduction (tCO2e)</t>
  </si>
  <si>
    <t>Carbon Costs (tCO2e)</t>
  </si>
  <si>
    <t>Emissions Reduction Accounting for Carbon Costs (tCO2e)</t>
  </si>
  <si>
    <t>Emissions Reduction Less 5% Conservative buffer (tCO2e)</t>
  </si>
  <si>
    <t>Net Emissions Reduction adjusted for Leakage (tCO2e)</t>
  </si>
  <si>
    <t>Cumulative Risk Buffer Contribution (tCO2e)</t>
  </si>
  <si>
    <t>Cumulative Claimable Emissions Reduction (tCO2e)</t>
  </si>
  <si>
    <t>Verification: Years Since Start Date</t>
  </si>
  <si>
    <t>Vintage Start Date</t>
  </si>
  <si>
    <t>Vintage End Date</t>
  </si>
  <si>
    <t>Net Emissions Reduction Per Vintage (tCO2e)</t>
  </si>
  <si>
    <t>Risk Buffer Contribution Per Vintage (tCO2e)</t>
  </si>
  <si>
    <t>Claimable Emissions Reduction Per Vintage (tCO2e)</t>
  </si>
  <si>
    <t>Project Elements</t>
  </si>
  <si>
    <t>tCO2e</t>
  </si>
  <si>
    <t>Project Proportion (%)</t>
  </si>
  <si>
    <t>Raw Material Costs</t>
  </si>
  <si>
    <t>Material Transport Costs</t>
  </si>
  <si>
    <t>Installation Costs</t>
  </si>
  <si>
    <t>Project Transport Costs</t>
  </si>
  <si>
    <t>Final Carbon Costs</t>
  </si>
  <si>
    <t>Total Project Cost</t>
  </si>
  <si>
    <t>Average Project Cost Per Hectare</t>
  </si>
  <si>
    <t>Total:</t>
  </si>
  <si>
    <r>
      <t xml:space="preserve">University of Cumbria and Barker &amp; Bland Ltd. Carbon Cost Calculator Assumptions </t>
    </r>
    <r>
      <rPr>
        <b/>
        <sz val="12"/>
        <color rgb="FFB49200"/>
        <rFont val="Arial"/>
        <family val="2"/>
      </rPr>
      <t>(Version 1, October 2024)</t>
    </r>
  </si>
  <si>
    <t>Table 1 - Intervention Raw Materials and Transportation</t>
  </si>
  <si>
    <t>Table 2 - Machine Types</t>
  </si>
  <si>
    <t>Table 3 - Machinery Transport (Base - Site)</t>
  </si>
  <si>
    <t>Table 4 - Additional Considerations</t>
  </si>
  <si>
    <r>
      <t xml:space="preserve">The following tables outline the assumptions in the </t>
    </r>
    <r>
      <rPr>
        <b/>
        <sz val="11"/>
        <color theme="1"/>
        <rFont val="Arial"/>
        <family val="2"/>
      </rPr>
      <t>"Carbon Costs Calculator"</t>
    </r>
    <r>
      <rPr>
        <sz val="11"/>
        <color theme="1"/>
        <rFont val="Arial"/>
        <family val="2"/>
      </rPr>
      <t xml:space="preserve">. Please note that the carbon cost outputs reflect </t>
    </r>
    <r>
      <rPr>
        <b/>
        <i/>
        <sz val="11"/>
        <color theme="1"/>
        <rFont val="Arial"/>
        <family val="2"/>
      </rPr>
      <t>conservative average estimates.</t>
    </r>
  </si>
  <si>
    <t>Primary Raw Material</t>
  </si>
  <si>
    <t>Average Weight (kg)</t>
  </si>
  <si>
    <t>Secondary Raw Materials</t>
  </si>
  <si>
    <t>New &amp; Recycled Included?</t>
  </si>
  <si>
    <t>Matieral Transport Vehicle</t>
  </si>
  <si>
    <t>Machine/Vehicle</t>
  </si>
  <si>
    <t>Assumption</t>
  </si>
  <si>
    <t>Machinery</t>
  </si>
  <si>
    <t>Element</t>
  </si>
  <si>
    <r>
      <t xml:space="preserve">Please refer to </t>
    </r>
    <r>
      <rPr>
        <b/>
        <sz val="11"/>
        <color theme="1"/>
        <rFont val="Arial"/>
        <family val="2"/>
      </rPr>
      <t>Brennand</t>
    </r>
    <r>
      <rPr>
        <sz val="11"/>
        <color theme="1"/>
        <rFont val="Arial"/>
        <family val="2"/>
      </rPr>
      <t xml:space="preserve"> </t>
    </r>
    <r>
      <rPr>
        <i/>
        <sz val="11"/>
        <color theme="1"/>
        <rFont val="Arial"/>
        <family val="2"/>
      </rPr>
      <t>et al.</t>
    </r>
    <r>
      <rPr>
        <sz val="11"/>
        <color theme="1"/>
        <rFont val="Arial"/>
        <family val="2"/>
      </rPr>
      <t xml:space="preserve"> (2025) - </t>
    </r>
    <r>
      <rPr>
        <i/>
        <sz val="11"/>
        <color theme="1"/>
        <rFont val="Arial"/>
        <family val="2"/>
      </rPr>
      <t>Evaluating the Carbon Costs of UK Blanket Peatland Restoration</t>
    </r>
    <r>
      <rPr>
        <sz val="11"/>
        <color theme="1"/>
        <rFont val="Arial"/>
        <family val="2"/>
      </rPr>
      <t xml:space="preserve"> - for the Life-Cycle Analysis (LCA) literature and databases used to estimate the carbon costs of interventions.</t>
    </r>
  </si>
  <si>
    <t>Composite Dam (Plastic) - Peat</t>
  </si>
  <si>
    <t>PVC (average Trench Pile; EcoZ; Multilock; UltraU; Europile; UltraZ sheet)</t>
  </si>
  <si>
    <t>&gt;1m - &lt;2m</t>
  </si>
  <si>
    <t>N/A</t>
  </si>
  <si>
    <t>Yes</t>
  </si>
  <si>
    <t>3.5t HGV</t>
  </si>
  <si>
    <t>Passenger Vehicle</t>
  </si>
  <si>
    <t>Dual purpose 4x4 (50% laden)</t>
  </si>
  <si>
    <t xml:space="preserve">Argocat </t>
  </si>
  <si>
    <t>Car trailor - Attached to dual purpose 4x4 (100% laden)</t>
  </si>
  <si>
    <t>Local Materials</t>
  </si>
  <si>
    <r>
      <t xml:space="preserve">Local materials, such as peat, mineral sediment, </t>
    </r>
    <r>
      <rPr>
        <i/>
        <sz val="11"/>
        <color theme="1"/>
        <rFont val="Arial"/>
        <family val="2"/>
      </rPr>
      <t>Sphagnum</t>
    </r>
    <r>
      <rPr>
        <sz val="11"/>
        <color theme="1"/>
        <rFont val="Arial"/>
        <family val="2"/>
      </rPr>
      <t>, and turves, incur no raw material cost. Instead, the carbon costs are associated with their translocation and installation, including the carbon costs associated with transporting workers to site</t>
    </r>
  </si>
  <si>
    <r>
      <t xml:space="preserve">References: 1) </t>
    </r>
    <r>
      <rPr>
        <b/>
        <sz val="11"/>
        <color theme="1"/>
        <rFont val="Arial"/>
        <family val="2"/>
      </rPr>
      <t>NatureScot</t>
    </r>
    <r>
      <rPr>
        <sz val="11"/>
        <color theme="1"/>
        <rFont val="Arial"/>
        <family val="2"/>
      </rPr>
      <t xml:space="preserve">., 2012. Peatland ACTION - </t>
    </r>
    <r>
      <rPr>
        <i/>
        <sz val="11"/>
        <color theme="1"/>
        <rFont val="Arial"/>
        <family val="2"/>
      </rPr>
      <t>Technical Compendium</t>
    </r>
    <r>
      <rPr>
        <sz val="11"/>
        <color theme="1"/>
        <rFont val="Arial"/>
        <family val="2"/>
      </rPr>
      <t xml:space="preserve"> (Chapters 2 - 7).  https://www.nature.scot/doc/peatland-action-technical-compendium-restoration-7-stabilisation-and-revegetation; 2) </t>
    </r>
    <r>
      <rPr>
        <b/>
        <sz val="11"/>
        <color theme="1"/>
        <rFont val="Arial"/>
        <family val="2"/>
      </rPr>
      <t>Thom</t>
    </r>
    <r>
      <rPr>
        <sz val="11"/>
        <color theme="1"/>
        <rFont val="Arial"/>
        <family val="2"/>
      </rPr>
      <t xml:space="preserve">, T., Hanlon, A., Lindsay, R., Richards, J., Stoneman, R., &amp; Brooks, S., 2019. </t>
    </r>
    <r>
      <rPr>
        <i/>
        <sz val="11"/>
        <color theme="1"/>
        <rFont val="Arial"/>
        <family val="2"/>
      </rPr>
      <t>Conserving bogs the management handbook</t>
    </r>
    <r>
      <rPr>
        <sz val="11"/>
        <color theme="1"/>
        <rFont val="Arial"/>
        <family val="2"/>
      </rPr>
      <t xml:space="preserve">. [online] pp.126 – 198.  https://www.iucn-uk-peatlandprogramme.org/sites/default/files/header-images/Conserving%20Bogs%20the%20management%20handbook.pdf. https://doi.org/10.1017/CBO9781139177788.010
</t>
    </r>
  </si>
  <si>
    <t>Composite Dam (Timber) - Peat</t>
  </si>
  <si>
    <t>FSC UK sourced timber (average of Cegar, Elm, Oak, Alder, &amp; Larch)</t>
  </si>
  <si>
    <t>&gt;2m - &lt;3m (4 planks)</t>
  </si>
  <si>
    <t>1) Pointed wooden posts; 2) Wooden spill plate = 24.8kg</t>
  </si>
  <si>
    <t>Average 8x8 Argo</t>
  </si>
  <si>
    <t>Heather Bale Dam; Heather Bale Bund; Brash/Mulch; Heather Brash</t>
  </si>
  <si>
    <t xml:space="preserve"> The carbon cost for raw materials is calculated based on the carbon emissions associated with the machinery used to harvest heather. In the "Material Source - Site Return (km)" section, the return distance represents the round trip between the harvest location and the installation site. Harvesting costs are calculated assuming that 200 polypropylene bags (100kg each) of heather can be harvested per day. Consideration is given to the use of passenger vehicles, argocats, softracts, other LPGVs, helicopters, and ground workers. An average distance of 8km from the nearest access point to the center of the site is assumed</t>
  </si>
  <si>
    <t>Heather Bale Dam</t>
  </si>
  <si>
    <t>Harvested heather (translocated)</t>
  </si>
  <si>
    <t>&lt;1m</t>
  </si>
  <si>
    <t>1) Small polypropylene dumpy bags (part of harvest) = 1.5kg</t>
  </si>
  <si>
    <t>&gt;17t rigid HGV</t>
  </si>
  <si>
    <t>Average 65-75hp Softrak</t>
  </si>
  <si>
    <t>100% laden articulated (&gt;3.5-33t) HGV - 2 excavators per load</t>
  </si>
  <si>
    <t xml:space="preserve">New &amp; Recycled </t>
  </si>
  <si>
    <t>New and recycled carbon costs, derived from relevant life-cycle analysis data, are factored into the average carbon cost estimate for each intervention. For example, the carbon cost of plastic piling interventions is based on an average of both new and recycled PVC. While this introduces some variability, it accounts for a wider range of material options, resulting in a more robust estimate.</t>
  </si>
  <si>
    <t>Plastic Piling</t>
  </si>
  <si>
    <t>Average 1) Takeuchi 290; 2) Kobelco SK75; 3) Bobcat E85 9t excavator</t>
  </si>
  <si>
    <t>Flight from source at 0% laden</t>
  </si>
  <si>
    <t>Material Transport</t>
  </si>
  <si>
    <t>The maximum load capacity of the assumed material transport vehicle is used to determine the maximum number of interventions that can be delivered, based on the average weight of the primary raw material. Once this limit is reached, a ceiling is applied to account for the need for an additional vehicle. This process is also applied to the harvesting of raw materials (e.g., heather-based interventions)</t>
  </si>
  <si>
    <t>Gritstone (Quarried)</t>
  </si>
  <si>
    <t>1) Large polypropylene dumpy bags = 6kg</t>
  </si>
  <si>
    <t>Other Low Pressure Ground Vehicle (LPGV)</t>
  </si>
  <si>
    <t>Average 200hp tractor (100% laden with e.g., spreader)</t>
  </si>
  <si>
    <t>Nearest Access - Site Centre</t>
  </si>
  <si>
    <t>If exotic raw materials are selected (Table 1), a carbon cost is generated for delivering the materials from the nearest access point to the site center. This is based on the "Distance from Nearest Road Access Point to Site (km)" selection. A 50% laden figure is applied to account for the machinery's load, reflecting a 100% laden trip from the access point to the site center and an empty (0% laden) return trip. Similar to the material transport ceiling, a limit is set on the maximum load capacity of the relevant machine, with provisions for multiple trips if necessary. Carbon costs with helicopter lift is also considered in this calculation if "Helicopter-Assisted" is selected</t>
  </si>
  <si>
    <t>Timber Dam</t>
  </si>
  <si>
    <t>Average 1) Bell 205A1; 2) Bell 212 SP; 3) Bell Long Ranger L3</t>
  </si>
  <si>
    <t>On-site Transport</t>
  </si>
  <si>
    <r>
      <t xml:space="preserve">For all interventions, average spacing specifications from NatureScot (2012) and Thom </t>
    </r>
    <r>
      <rPr>
        <i/>
        <sz val="11"/>
        <color theme="1"/>
        <rFont val="Arial"/>
        <family val="2"/>
      </rPr>
      <t>et al.</t>
    </r>
    <r>
      <rPr>
        <sz val="11"/>
        <color theme="1"/>
        <rFont val="Arial"/>
        <family val="2"/>
      </rPr>
      <t xml:space="preserve"> (2019) are used to calculate carbon costs associated with the movement of machinery between interventions. For example, an 8-meter movement of an average excavator is factored into the carbon cost for peat dam installation (when &gt;1 peat dam is selected). This movement cost is separate from the cost of operating the excavator arm during the actual creation of the dam</t>
    </r>
  </si>
  <si>
    <t>Coir Log</t>
  </si>
  <si>
    <t>Coir</t>
  </si>
  <si>
    <t>1) Chestnut stakes</t>
  </si>
  <si>
    <t>Installation</t>
  </si>
  <si>
    <t>The installation cost of interventions is calculated based on the time needed to operate the relevant machinery to create the restoration feature, based on the selected dimensions. Time estimates are drawn from literature, time trials, and field observations. The calculation takes into account both stationary and moving use of machinery, as well as helicopter lifts and the number of workers for hand-based installation (gathered from the "Number of Ground Workers" selection)</t>
  </si>
  <si>
    <t>Heather Bale Bund</t>
  </si>
  <si>
    <t>Additional Days</t>
  </si>
  <si>
    <t>The "Estimated Project Delivery Time Based on Selection" output represents the total estimated installation time based on the selected inputs. This estimate does not account for potential delays such as weather, machinery issues, or logistical challenges. To address this, the "Number of Additional Days to Match Actual" section allows for the inclusion of extra days needed to complete the project. This adjustment supports a more realistic project timeline and provides more accurate carbon cost estimates, including daily transport emissions</t>
  </si>
  <si>
    <t>Plug Plant</t>
  </si>
  <si>
    <r>
      <t>Average tomato/edible flower (</t>
    </r>
    <r>
      <rPr>
        <i/>
        <sz val="11"/>
        <color theme="1"/>
        <rFont val="Arial"/>
        <family val="2"/>
      </rPr>
      <t>Begonia Semperflornes/Viola Cornuta</t>
    </r>
    <r>
      <rPr>
        <sz val="11"/>
        <color theme="1"/>
        <rFont val="Arial"/>
        <family val="2"/>
      </rPr>
      <t>)</t>
    </r>
  </si>
  <si>
    <t>1 (per plug)</t>
  </si>
  <si>
    <t>1) Plastic wrap (included in LCA)</t>
  </si>
  <si>
    <t>Yes - traditional vs sustainable cultivation</t>
  </si>
  <si>
    <t>Brash/Mulch</t>
  </si>
  <si>
    <t>Heather brash (translocated)</t>
  </si>
  <si>
    <t>1 hectare</t>
  </si>
  <si>
    <t>1) Large polypropylene dumpy bags = 1200kg</t>
  </si>
  <si>
    <t>Geojute/Geotextile</t>
  </si>
  <si>
    <t>1) Wooden pegs; 2) OR plastic pegs; 3) OR steel pegs = 27400 kg (av.)</t>
  </si>
  <si>
    <t>Heather Brash</t>
  </si>
  <si>
    <t>1) Large polypropylene dumpy bags = 120kg</t>
  </si>
  <si>
    <t>Lime &amp; Fertiliser</t>
  </si>
  <si>
    <t>Granulated lime &amp; average N:P:K fertiliser</t>
  </si>
  <si>
    <t>1250 (1000 lime; 250 fertiliser)</t>
  </si>
  <si>
    <r>
      <t xml:space="preserve">Peatland Code Emissions Calculator </t>
    </r>
    <r>
      <rPr>
        <b/>
        <sz val="12"/>
        <color rgb="FFB49200"/>
        <rFont val="Arial"/>
        <family val="2"/>
      </rPr>
      <t>(Version 2, March 2023)</t>
    </r>
  </si>
  <si>
    <t>Period             (Years)</t>
  </si>
  <si>
    <t>Pre-Restoration (Baseline) Condition Category</t>
  </si>
  <si>
    <t>Pre-Restoration Emissions (tCo2e/ha)</t>
  </si>
  <si>
    <t>Post-Restoration Condition Category</t>
  </si>
  <si>
    <t>Post-Restoration Emissions (tCO2e/ha)</t>
  </si>
  <si>
    <t>Cumulative Emissions Reduction (tCO2e/ha)</t>
  </si>
  <si>
    <t>Pre-Restoration Category (Baseline)</t>
  </si>
  <si>
    <t>Baseline Emission Factor</t>
  </si>
  <si>
    <t>Pre-Restoration Categories (Baseline)</t>
  </si>
  <si>
    <t>Post-Restoration Categories</t>
  </si>
  <si>
    <t>Drained: Artificial</t>
  </si>
  <si>
    <t>Modified</t>
  </si>
  <si>
    <t>Near Natural</t>
  </si>
  <si>
    <t>Install Costs</t>
  </si>
  <si>
    <t>Intervention Total</t>
  </si>
  <si>
    <t>Intervention Label</t>
  </si>
  <si>
    <t>Filtered</t>
  </si>
  <si>
    <t>Label</t>
  </si>
  <si>
    <t>Intervention:</t>
  </si>
  <si>
    <t>Intervention Type</t>
  </si>
  <si>
    <t>Composite Dam (Plastic)</t>
  </si>
  <si>
    <t>Composite Dam (Timber)</t>
  </si>
  <si>
    <t>Mineral Dam</t>
  </si>
  <si>
    <t>Peat Dam</t>
  </si>
  <si>
    <t>Peat Wave Dam</t>
  </si>
  <si>
    <t>Peat Wave Dam/Zippering</t>
  </si>
  <si>
    <t>Dimensions:</t>
  </si>
  <si>
    <t>&lt;1m (2 planks)</t>
  </si>
  <si>
    <t>&gt;1m - &lt;2m (3 planks)</t>
  </si>
  <si>
    <t>&gt;1m - &lt;2m (2 units)</t>
  </si>
  <si>
    <t>&gt;2m - &lt;3m</t>
  </si>
  <si>
    <t>&gt;2m - &lt;3m (3 units)</t>
  </si>
  <si>
    <t>&gt;3m - &lt;4m</t>
  </si>
  <si>
    <t>&gt;3m - &lt;4m (4 units)</t>
  </si>
  <si>
    <t>&gt;4m</t>
  </si>
  <si>
    <t>Raw Material Cost:</t>
  </si>
  <si>
    <t>Av. kgCO2eq</t>
  </si>
  <si>
    <t>Ceilings</t>
  </si>
  <si>
    <t>Material Transport Cost:</t>
  </si>
  <si>
    <t>Installation Option:</t>
  </si>
  <si>
    <t>Hand</t>
  </si>
  <si>
    <t>Machine</t>
  </si>
  <si>
    <t>Machine - Assisted</t>
  </si>
  <si>
    <t>Installation Cost:</t>
  </si>
  <si>
    <t xml:space="preserve">Installation </t>
  </si>
  <si>
    <t>Peat Arc Bund</t>
  </si>
  <si>
    <t>Peat Bund (Gully/Drain/Deep)</t>
  </si>
  <si>
    <t>Peat Cell Bund</t>
  </si>
  <si>
    <t>Peat Finger Tie Back Bund</t>
  </si>
  <si>
    <t>Peat Fish-Scale/Scallop Bund</t>
  </si>
  <si>
    <t>Peat Mini Bund</t>
  </si>
  <si>
    <t>Peat Surface Bund</t>
  </si>
  <si>
    <t>Peat Trench Bund</t>
  </si>
  <si>
    <t>10m2</t>
  </si>
  <si>
    <t>15m2</t>
  </si>
  <si>
    <t>20m2</t>
  </si>
  <si>
    <t>&gt;4m - &lt;5m</t>
  </si>
  <si>
    <t>&gt;5m - &lt;10m</t>
  </si>
  <si>
    <t>&gt;10m</t>
  </si>
  <si>
    <t>Intervention Types</t>
  </si>
  <si>
    <t>Amount - Plug Plant</t>
  </si>
  <si>
    <t>Area - Brash/Mulch</t>
  </si>
  <si>
    <t>Area - Geojute/Geotextile</t>
  </si>
  <si>
    <t>Area - Heather Brash</t>
  </si>
  <si>
    <t>Area - Lime &amp; Fertiliser</t>
  </si>
  <si>
    <t>Area - Living Carpet</t>
  </si>
  <si>
    <t>Area - Micro-Erosion Repair</t>
  </si>
  <si>
    <t>Area - Reinstatement</t>
  </si>
  <si>
    <t>Area - Sphagnum Transplant (Internal)</t>
  </si>
  <si>
    <t>Area - Whole Turving (Imported)</t>
  </si>
  <si>
    <t>Area - Whole Turving (Local)</t>
  </si>
  <si>
    <t>Linear - Hag/Gully/Bank Reprofiling (Double)</t>
  </si>
  <si>
    <t>Linear - Hag/Gully/Bank Reprofiling (Single)</t>
  </si>
  <si>
    <t>Linear - Hag/Gully/Bank Reprofiling + Imported Turves</t>
  </si>
  <si>
    <t>Linear - Hag/Gully/Bank Reprofiling + Local Turves</t>
  </si>
  <si>
    <t>Linear - Micro-Erosion Repair</t>
  </si>
  <si>
    <t>Linear - Reinstatement</t>
  </si>
  <si>
    <t>Units:</t>
  </si>
  <si>
    <t>Hectares</t>
  </si>
  <si>
    <t>Meters</t>
  </si>
  <si>
    <t>Ceiling</t>
  </si>
  <si>
    <t>Helicoper - Assisted</t>
  </si>
  <si>
    <t>Project Vehicle Costs:</t>
  </si>
  <si>
    <t>Argocat/Softrack</t>
  </si>
  <si>
    <t>Artic Lorry</t>
  </si>
  <si>
    <t>Delivery HGV</t>
  </si>
  <si>
    <t>LPGV</t>
  </si>
  <si>
    <t>Other LPGV</t>
  </si>
  <si>
    <t>Passenger Vehicle + Trailer</t>
  </si>
  <si>
    <t>17t Delivery</t>
  </si>
  <si>
    <t>Est. Project Delivery Time (Days):</t>
  </si>
  <si>
    <t>Time (h)</t>
  </si>
  <si>
    <t>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</si>
</sst>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0000"/>
    <numFmt numFmtId="166" formatCode="0.0000"/>
    <numFmt numFmtId="167" formatCode="0.000000"/>
    <numFmt numFmtId="168" formatCode="0.0"/>
    <numFmt numFmtId="169" formatCode="[$-809]dd\ mmmm\ yyyy;@"/>
    <numFmt numFmtId="170" formatCode="[$-F800]dddd\,\ mmmm\ dd\,\ yyyy"/>
  </numFmts>
  <fonts count="41">
    <font>
      <sz val="11"/>
      <color theme="1"/>
      <name val="Calibri"/>
      <family val="2"/>
      <scheme val="minor"/>
    </font>
    <font>
      <b/>
      <sz val="11"/>
      <color theme="1"/>
      <name val="Calibri"/>
      <family val="2"/>
      <scheme val="minor"/>
    </font>
    <font>
      <sz val="16"/>
      <color theme="1"/>
      <name val="Calibri"/>
      <family val="2"/>
      <scheme val="minor"/>
    </font>
    <font>
      <sz val="8"/>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6"/>
      <color theme="1"/>
      <name val="Calibri"/>
      <family val="2"/>
      <scheme val="minor"/>
    </font>
    <font>
      <b/>
      <sz val="16"/>
      <name val="Calibri"/>
      <family val="2"/>
      <scheme val="minor"/>
    </font>
    <font>
      <b/>
      <sz val="16"/>
      <color theme="0"/>
      <name val="Calibri"/>
      <family val="2"/>
      <scheme val="minor"/>
    </font>
    <font>
      <b/>
      <i/>
      <sz val="16"/>
      <color theme="1"/>
      <name val="Calibri"/>
      <family val="2"/>
      <scheme val="minor"/>
    </font>
    <font>
      <sz val="11"/>
      <color rgb="FFFF0000"/>
      <name val="Calibri"/>
      <family val="2"/>
      <scheme val="minor"/>
    </font>
    <font>
      <b/>
      <sz val="14"/>
      <color rgb="FFB49200"/>
      <name val="Arial"/>
      <family val="2"/>
    </font>
    <font>
      <b/>
      <sz val="12"/>
      <color rgb="FFB49200"/>
      <name val="Arial"/>
      <family val="2"/>
    </font>
    <font>
      <b/>
      <sz val="11"/>
      <color rgb="FFB49200"/>
      <name val="Arial"/>
      <family val="2"/>
    </font>
    <font>
      <b/>
      <sz val="11"/>
      <color rgb="FF007A4D"/>
      <name val="Arial"/>
      <family val="2"/>
    </font>
    <font>
      <sz val="11"/>
      <color theme="1"/>
      <name val="Arial"/>
      <family val="2"/>
    </font>
    <font>
      <i/>
      <sz val="11"/>
      <color theme="1"/>
      <name val="Arial"/>
      <family val="2"/>
    </font>
    <font>
      <b/>
      <sz val="11"/>
      <color theme="1"/>
      <name val="Arial"/>
      <family val="2"/>
    </font>
    <font>
      <b/>
      <sz val="14"/>
      <color rgb="FFB49200"/>
      <name val="Calibri"/>
      <family val="2"/>
      <scheme val="minor"/>
    </font>
    <font>
      <b/>
      <sz val="14"/>
      <name val="Calibri"/>
      <family val="2"/>
      <scheme val="minor"/>
    </font>
    <font>
      <b/>
      <sz val="14"/>
      <color rgb="FFFF0000"/>
      <name val="Calibri"/>
      <family val="2"/>
      <scheme val="minor"/>
    </font>
    <font>
      <b/>
      <sz val="8"/>
      <color theme="0"/>
      <name val="Calibri"/>
      <family val="2"/>
      <scheme val="minor"/>
    </font>
    <font>
      <b/>
      <sz val="12"/>
      <color rgb="FF007A4D"/>
      <name val="Arial"/>
      <family val="2"/>
    </font>
    <font>
      <sz val="12"/>
      <color rgb="FF007A4D"/>
      <name val="Arial"/>
      <family val="2"/>
    </font>
    <font>
      <sz val="12"/>
      <name val="Arial"/>
      <family val="2"/>
    </font>
    <font>
      <b/>
      <sz val="11"/>
      <name val="Calibri"/>
      <family val="2"/>
      <scheme val="minor"/>
    </font>
    <font>
      <b/>
      <sz val="10"/>
      <name val="Verdana"/>
      <family val="2"/>
    </font>
    <font>
      <sz val="10"/>
      <name val="Verdana"/>
      <family val="2"/>
    </font>
    <font>
      <sz val="11"/>
      <color rgb="FFB49200"/>
      <name val="Arial"/>
      <family val="2"/>
    </font>
    <font>
      <b/>
      <sz val="12"/>
      <color theme="1"/>
      <name val="Verdana"/>
      <family val="2"/>
    </font>
    <font>
      <sz val="12"/>
      <color theme="1"/>
      <name val="Verdana"/>
      <family val="2"/>
    </font>
    <font>
      <sz val="12"/>
      <color theme="1"/>
      <name val="Arial"/>
      <family val="2"/>
    </font>
    <font>
      <b/>
      <sz val="10"/>
      <color theme="0"/>
      <name val="Verdana"/>
      <family val="2"/>
    </font>
    <font>
      <b/>
      <sz val="11"/>
      <color theme="0"/>
      <name val="Arial"/>
      <family val="2"/>
    </font>
    <font>
      <b/>
      <i/>
      <sz val="11"/>
      <color theme="0"/>
      <name val="Calibri"/>
      <family val="2"/>
      <scheme val="minor"/>
    </font>
    <font>
      <b/>
      <i/>
      <sz val="11"/>
      <color theme="1"/>
      <name val="Arial"/>
      <family val="2"/>
    </font>
    <font>
      <b/>
      <sz val="11"/>
      <name val="Arial"/>
      <family val="2"/>
    </font>
    <font>
      <sz val="11"/>
      <color rgb="FF000000"/>
      <name val="Arial"/>
      <family val="2"/>
    </font>
    <font>
      <b/>
      <sz val="11"/>
      <color rgb="FF000000"/>
      <name val="Arial"/>
      <family val="2"/>
    </font>
    <font>
      <b/>
      <i/>
      <sz val="11"/>
      <color rgb="FF000000"/>
      <name val="Arial"/>
      <family val="2"/>
    </font>
  </fonts>
  <fills count="20">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indexed="64"/>
      </patternFill>
    </fill>
    <fill>
      <patternFill patternType="solid">
        <fgColor rgb="FFFFFF00"/>
        <bgColor theme="4"/>
      </patternFill>
    </fill>
    <fill>
      <patternFill patternType="solid">
        <fgColor theme="4" tint="0.79998168889431442"/>
        <bgColor theme="4"/>
      </patternFill>
    </fill>
    <fill>
      <patternFill patternType="solid">
        <fgColor theme="0" tint="-0.14999847407452621"/>
        <bgColor indexed="64"/>
      </patternFill>
    </fill>
    <fill>
      <patternFill patternType="solid">
        <fgColor theme="0"/>
        <bgColor indexed="64"/>
      </patternFill>
    </fill>
    <fill>
      <patternFill patternType="solid">
        <fgColor rgb="FF007A4D"/>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rgb="FF007A4D"/>
        <bgColor theme="4"/>
      </patternFill>
    </fill>
    <fill>
      <patternFill patternType="solid">
        <fgColor rgb="FF007A4D"/>
        <bgColor theme="5"/>
      </patternFill>
    </fill>
    <fill>
      <patternFill patternType="solid">
        <fgColor rgb="FF007A4D"/>
        <bgColor theme="9"/>
      </patternFill>
    </fill>
    <fill>
      <patternFill patternType="solid">
        <fgColor rgb="FF005436"/>
        <bgColor indexed="64"/>
      </patternFill>
    </fill>
    <fill>
      <patternFill patternType="solid">
        <fgColor rgb="FF11FFAA"/>
        <bgColor indexed="64"/>
      </patternFill>
    </fill>
    <fill>
      <patternFill patternType="solid">
        <fgColor rgb="FF00C881"/>
        <bgColor indexed="64"/>
      </patternFill>
    </fill>
  </fills>
  <borders count="52">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59999389629810485"/>
      </left>
      <right/>
      <top style="thin">
        <color theme="4" tint="0.59999389629810485"/>
      </top>
      <bottom/>
      <diagonal/>
    </border>
    <border>
      <left/>
      <right/>
      <top style="thin">
        <color theme="4" tint="0.59999389629810485"/>
      </top>
      <bottom/>
      <diagonal/>
    </border>
    <border>
      <left/>
      <right style="thin">
        <color theme="4" tint="0.59999389629810485"/>
      </right>
      <top style="thin">
        <color theme="4" tint="0.59999389629810485"/>
      </top>
      <bottom/>
      <diagonal/>
    </border>
    <border>
      <left style="thin">
        <color theme="4" tint="0.59999389629810485"/>
      </left>
      <right/>
      <top style="thin">
        <color theme="4" tint="0.39997558519241921"/>
      </top>
      <bottom/>
      <diagonal/>
    </border>
    <border>
      <left/>
      <right style="thin">
        <color theme="4" tint="0.59999389629810485"/>
      </right>
      <top style="thin">
        <color theme="4" tint="0.39997558519241921"/>
      </top>
      <bottom/>
      <diagonal/>
    </border>
    <border>
      <left style="thin">
        <color theme="4" tint="0.59999389629810485"/>
      </left>
      <right/>
      <top style="thin">
        <color theme="4" tint="0.39997558519241921"/>
      </top>
      <bottom style="thin">
        <color theme="4" tint="0.39997558519241921"/>
      </bottom>
      <diagonal/>
    </border>
    <border>
      <left/>
      <right style="thin">
        <color theme="4" tint="0.59999389629810485"/>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39997558519241921"/>
      </top>
      <bottom style="thin">
        <color theme="4" tint="0.39997558519241921"/>
      </bottom>
      <diagonal/>
    </border>
    <border>
      <left style="thin">
        <color theme="4" tint="0.79998168889431442"/>
      </left>
      <right style="thin">
        <color theme="4" tint="0.79998168889431442"/>
      </right>
      <top/>
      <bottom/>
      <diagonal/>
    </border>
    <border>
      <left style="thin">
        <color theme="4" tint="0.59999389629810485"/>
      </left>
      <right style="thin">
        <color theme="4" tint="0.59999389629810485"/>
      </right>
      <top style="thin">
        <color theme="4" tint="0.39997558519241921"/>
      </top>
      <bottom/>
      <diagonal/>
    </border>
    <border>
      <left/>
      <right style="thin">
        <color theme="4" tint="0.79998168889431442"/>
      </right>
      <top style="thin">
        <color theme="4" tint="0.39997558519241921"/>
      </top>
      <bottom style="thin">
        <color theme="4" tint="0.39997558519241921"/>
      </bottom>
      <diagonal/>
    </border>
    <border>
      <left/>
      <right style="thin">
        <color theme="4" tint="0.79998168889431442"/>
      </right>
      <top/>
      <bottom/>
      <diagonal/>
    </border>
    <border>
      <left style="thin">
        <color theme="4" tint="0.79998168889431442"/>
      </left>
      <right/>
      <top style="thin">
        <color theme="4" tint="0.39997558519241921"/>
      </top>
      <bottom style="thin">
        <color theme="4" tint="0.39997558519241921"/>
      </bottom>
      <diagonal/>
    </border>
    <border>
      <left style="thin">
        <color theme="4" tint="0.79998168889431442"/>
      </left>
      <right/>
      <top/>
      <bottom/>
      <diagonal/>
    </border>
    <border>
      <left/>
      <right style="thin">
        <color theme="4" tint="0.79998168889431442"/>
      </right>
      <top style="thin">
        <color theme="4" tint="0.39997558519241921"/>
      </top>
      <bottom/>
      <diagonal/>
    </border>
    <border>
      <left style="thin">
        <color theme="4" tint="0.79998168889431442"/>
      </left>
      <right style="thin">
        <color theme="4" tint="0.79998168889431442"/>
      </right>
      <top style="thin">
        <color theme="4" tint="0.39997558519241921"/>
      </top>
      <bottom/>
      <diagonal/>
    </border>
    <border>
      <left style="thin">
        <color theme="4" tint="0.79998168889431442"/>
      </left>
      <right/>
      <top style="thin">
        <color theme="4" tint="0.39997558519241921"/>
      </top>
      <bottom/>
      <diagonal/>
    </border>
    <border>
      <left/>
      <right style="thin">
        <color theme="4" tint="0.39997558519241921"/>
      </right>
      <top/>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28" fillId="0" borderId="0"/>
  </cellStyleXfs>
  <cellXfs count="337">
    <xf numFmtId="0" fontId="0" fillId="0" borderId="0" xfId="0"/>
    <xf numFmtId="0" fontId="1" fillId="0" borderId="0" xfId="0" applyFont="1"/>
    <xf numFmtId="2" fontId="0" fillId="0" borderId="0" xfId="0" applyNumberFormat="1"/>
    <xf numFmtId="0" fontId="0" fillId="0" borderId="0" xfId="0" applyAlignment="1">
      <alignment horizontal="left"/>
    </xf>
    <xf numFmtId="0" fontId="0" fillId="0" borderId="0" xfId="0" applyAlignment="1">
      <alignment horizontal="left" vertical="top"/>
    </xf>
    <xf numFmtId="0" fontId="1" fillId="0" borderId="0" xfId="0" applyFont="1" applyAlignment="1">
      <alignment horizontal="left"/>
    </xf>
    <xf numFmtId="0" fontId="1" fillId="0" borderId="0" xfId="0" applyFont="1" applyAlignment="1">
      <alignment horizontal="left" wrapText="1"/>
    </xf>
    <xf numFmtId="0" fontId="0" fillId="4" borderId="3" xfId="0" applyFill="1" applyBorder="1"/>
    <xf numFmtId="0" fontId="4" fillId="2" borderId="5" xfId="0" applyFont="1" applyFill="1" applyBorder="1" applyAlignment="1">
      <alignment horizontal="left"/>
    </xf>
    <xf numFmtId="0" fontId="4" fillId="2" borderId="5" xfId="0" applyFont="1" applyFill="1" applyBorder="1"/>
    <xf numFmtId="0" fontId="4" fillId="2" borderId="6" xfId="0" applyFont="1" applyFill="1" applyBorder="1" applyAlignment="1">
      <alignment horizontal="left"/>
    </xf>
    <xf numFmtId="0" fontId="4" fillId="2" borderId="8" xfId="0" applyFont="1" applyFill="1" applyBorder="1" applyAlignment="1">
      <alignment horizontal="left"/>
    </xf>
    <xf numFmtId="0" fontId="4" fillId="2" borderId="6" xfId="0" applyFont="1" applyFill="1" applyBorder="1"/>
    <xf numFmtId="0" fontId="4" fillId="2" borderId="8" xfId="0" applyFont="1" applyFill="1" applyBorder="1"/>
    <xf numFmtId="0" fontId="4" fillId="2" borderId="10" xfId="0" applyFont="1" applyFill="1" applyBorder="1"/>
    <xf numFmtId="0" fontId="4" fillId="2" borderId="11" xfId="0" applyFont="1" applyFill="1" applyBorder="1"/>
    <xf numFmtId="165" fontId="0" fillId="0" borderId="0" xfId="0" applyNumberFormat="1"/>
    <xf numFmtId="166" fontId="0" fillId="0" borderId="0" xfId="0" applyNumberFormat="1"/>
    <xf numFmtId="0" fontId="4" fillId="3" borderId="0" xfId="0" applyFont="1" applyFill="1"/>
    <xf numFmtId="0" fontId="4" fillId="2" borderId="9" xfId="0" applyFont="1" applyFill="1" applyBorder="1"/>
    <xf numFmtId="0" fontId="4" fillId="2" borderId="7"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2" fontId="0" fillId="5" borderId="22" xfId="0" applyNumberFormat="1" applyFill="1" applyBorder="1"/>
    <xf numFmtId="165" fontId="0" fillId="0" borderId="8" xfId="0" applyNumberFormat="1" applyBorder="1"/>
    <xf numFmtId="165" fontId="0" fillId="4" borderId="8" xfId="0" applyNumberFormat="1" applyFill="1" applyBorder="1"/>
    <xf numFmtId="165" fontId="0" fillId="0" borderId="0" xfId="0" applyNumberFormat="1" applyAlignment="1">
      <alignment horizontal="left" vertical="top"/>
    </xf>
    <xf numFmtId="0" fontId="0" fillId="4" borderId="2" xfId="0" applyFill="1" applyBorder="1"/>
    <xf numFmtId="0" fontId="0" fillId="0" borderId="7" xfId="0" applyBorder="1"/>
    <xf numFmtId="0" fontId="0" fillId="4" borderId="4" xfId="0" applyFill="1" applyBorder="1"/>
    <xf numFmtId="0" fontId="0" fillId="0" borderId="8" xfId="0" applyBorder="1"/>
    <xf numFmtId="0" fontId="0" fillId="4" borderId="5" xfId="0" applyFill="1" applyBorder="1"/>
    <xf numFmtId="0" fontId="0" fillId="0" borderId="5" xfId="0" applyBorder="1"/>
    <xf numFmtId="0" fontId="0" fillId="5" borderId="5" xfId="0" applyFill="1" applyBorder="1"/>
    <xf numFmtId="0" fontId="0" fillId="4" borderId="6" xfId="0" applyFill="1" applyBorder="1"/>
    <xf numFmtId="165" fontId="0" fillId="4" borderId="7" xfId="0" applyNumberFormat="1" applyFill="1" applyBorder="1"/>
    <xf numFmtId="165" fontId="0" fillId="0" borderId="7" xfId="0" applyNumberFormat="1" applyBorder="1"/>
    <xf numFmtId="0" fontId="0" fillId="0" borderId="6" xfId="0" applyBorder="1"/>
    <xf numFmtId="0" fontId="0" fillId="0" borderId="2" xfId="0" applyBorder="1"/>
    <xf numFmtId="0" fontId="0" fillId="4" borderId="7" xfId="0" applyFill="1" applyBorder="1"/>
    <xf numFmtId="0" fontId="0" fillId="4" borderId="1" xfId="0" applyFill="1" applyBorder="1"/>
    <xf numFmtId="0" fontId="0" fillId="4" borderId="8" xfId="0" applyFill="1" applyBorder="1"/>
    <xf numFmtId="0" fontId="4" fillId="0" borderId="0" xfId="0" applyFont="1" applyAlignment="1">
      <alignment horizontal="left"/>
    </xf>
    <xf numFmtId="165" fontId="0" fillId="0" borderId="0" xfId="0" applyNumberFormat="1" applyAlignment="1">
      <alignment horizontal="right"/>
    </xf>
    <xf numFmtId="165" fontId="6" fillId="0" borderId="7" xfId="0" applyNumberFormat="1" applyFont="1" applyBorder="1"/>
    <xf numFmtId="165" fontId="6" fillId="5" borderId="7" xfId="0" applyNumberFormat="1" applyFont="1" applyFill="1" applyBorder="1"/>
    <xf numFmtId="0" fontId="6" fillId="8" borderId="6" xfId="0" applyFont="1" applyFill="1" applyBorder="1" applyAlignment="1">
      <alignment horizontal="left"/>
    </xf>
    <xf numFmtId="165" fontId="0" fillId="4" borderId="5" xfId="0" applyNumberFormat="1" applyFill="1" applyBorder="1"/>
    <xf numFmtId="165" fontId="0" fillId="0" borderId="5" xfId="0" applyNumberFormat="1" applyBorder="1"/>
    <xf numFmtId="0" fontId="6" fillId="0" borderId="6" xfId="0" applyFont="1" applyBorder="1" applyAlignment="1">
      <alignment horizontal="left"/>
    </xf>
    <xf numFmtId="0" fontId="0" fillId="0" borderId="5" xfId="0" applyBorder="1" applyAlignment="1">
      <alignment horizontal="left"/>
    </xf>
    <xf numFmtId="0" fontId="0" fillId="5" borderId="5" xfId="0" applyFill="1" applyBorder="1" applyAlignment="1">
      <alignment horizontal="left"/>
    </xf>
    <xf numFmtId="0" fontId="4" fillId="0" borderId="0" xfId="0" applyFont="1" applyAlignment="1">
      <alignment horizontal="left" wrapText="1"/>
    </xf>
    <xf numFmtId="0" fontId="0" fillId="0" borderId="1" xfId="0" applyBorder="1"/>
    <xf numFmtId="0" fontId="4" fillId="0" borderId="0" xfId="0" applyFont="1"/>
    <xf numFmtId="0" fontId="6" fillId="0" borderId="0" xfId="0" applyFont="1"/>
    <xf numFmtId="165" fontId="0" fillId="0" borderId="4" xfId="0" applyNumberFormat="1" applyBorder="1"/>
    <xf numFmtId="165" fontId="6" fillId="8" borderId="7" xfId="0" applyNumberFormat="1" applyFont="1" applyFill="1" applyBorder="1"/>
    <xf numFmtId="165" fontId="6" fillId="0" borderId="7" xfId="0" applyNumberFormat="1" applyFont="1" applyBorder="1" applyAlignment="1">
      <alignment horizontal="right"/>
    </xf>
    <xf numFmtId="165" fontId="6" fillId="8" borderId="7" xfId="0" applyNumberFormat="1" applyFont="1" applyFill="1" applyBorder="1" applyAlignment="1">
      <alignment horizontal="right"/>
    </xf>
    <xf numFmtId="165" fontId="0" fillId="5" borderId="8" xfId="0" applyNumberFormat="1" applyFill="1" applyBorder="1"/>
    <xf numFmtId="0" fontId="5" fillId="0" borderId="0" xfId="0" applyFont="1" applyAlignment="1">
      <alignment horizontal="left"/>
    </xf>
    <xf numFmtId="0" fontId="5" fillId="0" borderId="0" xfId="0" applyFont="1"/>
    <xf numFmtId="0" fontId="5" fillId="0" borderId="0" xfId="0" applyFont="1" applyAlignment="1">
      <alignment horizontal="left" vertical="center"/>
    </xf>
    <xf numFmtId="165" fontId="0" fillId="0" borderId="0" xfId="0" applyNumberFormat="1" applyAlignment="1">
      <alignment horizontal="right" vertical="top" wrapText="1"/>
    </xf>
    <xf numFmtId="165" fontId="0" fillId="0" borderId="0" xfId="0" applyNumberFormat="1" applyAlignment="1">
      <alignment horizontal="right" vertical="top"/>
    </xf>
    <xf numFmtId="0" fontId="6" fillId="8" borderId="7" xfId="0" applyFont="1" applyFill="1" applyBorder="1"/>
    <xf numFmtId="0" fontId="6" fillId="0" borderId="7" xfId="0" applyFont="1" applyBorder="1"/>
    <xf numFmtId="0" fontId="4" fillId="2" borderId="0" xfId="0" applyFont="1" applyFill="1"/>
    <xf numFmtId="0" fontId="6" fillId="8" borderId="7" xfId="0" applyFont="1" applyFill="1" applyBorder="1" applyAlignment="1">
      <alignment horizontal="left"/>
    </xf>
    <xf numFmtId="165" fontId="0" fillId="0" borderId="1" xfId="0" applyNumberFormat="1" applyBorder="1"/>
    <xf numFmtId="0" fontId="4" fillId="2" borderId="3" xfId="0" applyFont="1" applyFill="1" applyBorder="1" applyAlignment="1">
      <alignment horizontal="left"/>
    </xf>
    <xf numFmtId="0" fontId="4" fillId="2" borderId="2" xfId="0" applyFont="1" applyFill="1" applyBorder="1" applyAlignment="1">
      <alignment horizontal="left"/>
    </xf>
    <xf numFmtId="164" fontId="0" fillId="4" borderId="3" xfId="0" applyNumberFormat="1" applyFill="1" applyBorder="1"/>
    <xf numFmtId="164" fontId="0" fillId="0" borderId="0" xfId="0" applyNumberFormat="1"/>
    <xf numFmtId="2" fontId="0" fillId="5" borderId="23" xfId="0" applyNumberFormat="1" applyFill="1" applyBorder="1"/>
    <xf numFmtId="0" fontId="0" fillId="4" borderId="12" xfId="0" applyFill="1" applyBorder="1"/>
    <xf numFmtId="2" fontId="0" fillId="4" borderId="7" xfId="0" applyNumberFormat="1" applyFill="1" applyBorder="1"/>
    <xf numFmtId="2" fontId="0" fillId="4" borderId="13" xfId="0" applyNumberFormat="1" applyFill="1" applyBorder="1"/>
    <xf numFmtId="0" fontId="0" fillId="0" borderId="12" xfId="0" applyBorder="1"/>
    <xf numFmtId="2" fontId="0" fillId="0" borderId="7" xfId="0" applyNumberFormat="1" applyBorder="1"/>
    <xf numFmtId="2" fontId="0" fillId="0" borderId="13" xfId="0" applyNumberFormat="1" applyBorder="1"/>
    <xf numFmtId="0" fontId="0" fillId="5" borderId="12" xfId="0" applyFill="1" applyBorder="1"/>
    <xf numFmtId="2" fontId="0" fillId="5" borderId="7" xfId="0" applyNumberFormat="1" applyFill="1" applyBorder="1"/>
    <xf numFmtId="2" fontId="0" fillId="5" borderId="13" xfId="0" applyNumberFormat="1" applyFill="1" applyBorder="1"/>
    <xf numFmtId="2" fontId="0" fillId="0" borderId="12" xfId="0" applyNumberFormat="1" applyBorder="1"/>
    <xf numFmtId="2" fontId="0" fillId="0" borderId="24" xfId="0" applyNumberFormat="1" applyBorder="1"/>
    <xf numFmtId="0" fontId="0" fillId="0" borderId="14" xfId="0" applyBorder="1"/>
    <xf numFmtId="2" fontId="0" fillId="0" borderId="3" xfId="0" applyNumberFormat="1" applyBorder="1"/>
    <xf numFmtId="2" fontId="0" fillId="0" borderId="15" xfId="0" applyNumberFormat="1" applyBorder="1"/>
    <xf numFmtId="0" fontId="0" fillId="5" borderId="25" xfId="0" applyFill="1" applyBorder="1"/>
    <xf numFmtId="0" fontId="0" fillId="5" borderId="26" xfId="0" applyFill="1" applyBorder="1"/>
    <xf numFmtId="2" fontId="0" fillId="5" borderId="27" xfId="0" applyNumberFormat="1" applyFill="1" applyBorder="1"/>
    <xf numFmtId="2" fontId="0" fillId="5" borderId="28" xfId="0" applyNumberFormat="1" applyFill="1" applyBorder="1"/>
    <xf numFmtId="0" fontId="0" fillId="0" borderId="29" xfId="0" applyBorder="1"/>
    <xf numFmtId="2" fontId="0" fillId="0" borderId="30" xfId="0" applyNumberFormat="1" applyBorder="1"/>
    <xf numFmtId="2" fontId="0" fillId="0" borderId="31" xfId="0" applyNumberFormat="1" applyBorder="1"/>
    <xf numFmtId="0" fontId="6" fillId="5" borderId="5" xfId="0" applyFont="1" applyFill="1" applyBorder="1" applyAlignment="1">
      <alignment horizontal="left"/>
    </xf>
    <xf numFmtId="0" fontId="6" fillId="0" borderId="5" xfId="0" applyFont="1" applyBorder="1"/>
    <xf numFmtId="0" fontId="6" fillId="0" borderId="7" xfId="0" applyFont="1" applyBorder="1" applyAlignment="1">
      <alignment horizontal="left"/>
    </xf>
    <xf numFmtId="0" fontId="6" fillId="4" borderId="6" xfId="0" applyFont="1" applyFill="1" applyBorder="1" applyAlignment="1">
      <alignment horizontal="left"/>
    </xf>
    <xf numFmtId="0" fontId="6" fillId="0" borderId="2" xfId="0" applyFont="1" applyBorder="1" applyAlignment="1">
      <alignment horizontal="left"/>
    </xf>
    <xf numFmtId="0" fontId="0" fillId="5" borderId="6" xfId="0" applyFill="1" applyBorder="1"/>
    <xf numFmtId="167" fontId="0" fillId="4" borderId="8" xfId="0" applyNumberFormat="1" applyFill="1" applyBorder="1"/>
    <xf numFmtId="167" fontId="0" fillId="0" borderId="8" xfId="0" applyNumberFormat="1" applyBorder="1"/>
    <xf numFmtId="167" fontId="0" fillId="5" borderId="8" xfId="0" applyNumberFormat="1" applyFill="1" applyBorder="1"/>
    <xf numFmtId="165" fontId="0" fillId="4" borderId="5" xfId="0" applyNumberFormat="1" applyFill="1" applyBorder="1" applyAlignment="1">
      <alignment horizontal="right"/>
    </xf>
    <xf numFmtId="165" fontId="0" fillId="0" borderId="5" xfId="0" applyNumberFormat="1" applyBorder="1" applyAlignment="1">
      <alignment horizontal="right"/>
    </xf>
    <xf numFmtId="0" fontId="0" fillId="0" borderId="32" xfId="0" applyBorder="1" applyAlignment="1">
      <alignment horizontal="left"/>
    </xf>
    <xf numFmtId="0" fontId="0" fillId="5" borderId="1" xfId="0" applyFill="1" applyBorder="1" applyAlignment="1">
      <alignment horizontal="left"/>
    </xf>
    <xf numFmtId="0" fontId="0" fillId="5" borderId="2" xfId="0" applyFill="1" applyBorder="1"/>
    <xf numFmtId="165" fontId="0" fillId="5" borderId="4" xfId="0" applyNumberFormat="1" applyFill="1" applyBorder="1"/>
    <xf numFmtId="167" fontId="0" fillId="5" borderId="4" xfId="0" applyNumberFormat="1" applyFill="1" applyBorder="1"/>
    <xf numFmtId="0" fontId="0" fillId="4" borderId="33" xfId="0" applyFill="1" applyBorder="1"/>
    <xf numFmtId="0" fontId="4" fillId="2" borderId="3" xfId="0" applyFont="1" applyFill="1" applyBorder="1"/>
    <xf numFmtId="0" fontId="0" fillId="0" borderId="33" xfId="0" applyBorder="1"/>
    <xf numFmtId="0" fontId="0" fillId="5" borderId="33" xfId="0" applyFill="1" applyBorder="1"/>
    <xf numFmtId="0" fontId="12" fillId="10" borderId="0" xfId="0" applyFont="1" applyFill="1"/>
    <xf numFmtId="0" fontId="12" fillId="10" borderId="0" xfId="0" applyFont="1" applyFill="1" applyAlignment="1">
      <alignment wrapText="1"/>
    </xf>
    <xf numFmtId="0" fontId="14" fillId="10" borderId="0" xfId="0" applyFont="1" applyFill="1"/>
    <xf numFmtId="0" fontId="15" fillId="10" borderId="0" xfId="0" applyFont="1" applyFill="1" applyAlignment="1">
      <alignment vertical="top"/>
    </xf>
    <xf numFmtId="0" fontId="16" fillId="10" borderId="0" xfId="0" applyFont="1" applyFill="1"/>
    <xf numFmtId="0" fontId="16" fillId="10" borderId="0" xfId="0" applyFont="1" applyFill="1" applyAlignment="1">
      <alignment wrapText="1"/>
    </xf>
    <xf numFmtId="0" fontId="18" fillId="10" borderId="0" xfId="0" applyFont="1" applyFill="1"/>
    <xf numFmtId="0" fontId="16" fillId="10" borderId="0" xfId="0" applyFont="1" applyFill="1" applyAlignment="1">
      <alignment vertical="top" wrapText="1"/>
    </xf>
    <xf numFmtId="0" fontId="18" fillId="10" borderId="0" xfId="0" applyFont="1" applyFill="1" applyAlignment="1">
      <alignment vertical="top"/>
    </xf>
    <xf numFmtId="0" fontId="15" fillId="10" borderId="0" xfId="0" applyFont="1" applyFill="1"/>
    <xf numFmtId="0" fontId="15" fillId="10" borderId="0" xfId="0" applyFont="1" applyFill="1" applyAlignment="1">
      <alignment horizontal="center" vertical="center"/>
    </xf>
    <xf numFmtId="0" fontId="23" fillId="10" borderId="0" xfId="0" applyFont="1" applyFill="1"/>
    <xf numFmtId="0" fontId="6" fillId="10" borderId="16" xfId="0" applyFont="1" applyFill="1" applyBorder="1" applyProtection="1">
      <protection locked="0"/>
    </xf>
    <xf numFmtId="2" fontId="6" fillId="0" borderId="16" xfId="0" applyNumberFormat="1" applyFont="1" applyBorder="1" applyAlignment="1" applyProtection="1">
      <alignment horizontal="center"/>
      <protection locked="0"/>
    </xf>
    <xf numFmtId="0" fontId="0" fillId="0" borderId="16" xfId="0" applyBorder="1" applyAlignment="1" applyProtection="1">
      <alignment horizontal="center"/>
      <protection locked="0"/>
    </xf>
    <xf numFmtId="0" fontId="6" fillId="0" borderId="16" xfId="0" applyFont="1" applyBorder="1" applyProtection="1">
      <protection locked="0"/>
    </xf>
    <xf numFmtId="170" fontId="6" fillId="10" borderId="16" xfId="0" applyNumberFormat="1" applyFont="1" applyFill="1" applyBorder="1" applyAlignment="1" applyProtection="1">
      <alignment wrapText="1"/>
      <protection locked="0"/>
    </xf>
    <xf numFmtId="0" fontId="6" fillId="0" borderId="16" xfId="0" applyFont="1" applyBorder="1" applyAlignment="1" applyProtection="1">
      <alignment horizontal="center"/>
      <protection locked="0"/>
    </xf>
    <xf numFmtId="0" fontId="6" fillId="0" borderId="34" xfId="0" applyFont="1" applyBorder="1" applyAlignment="1" applyProtection="1">
      <alignment horizontal="center"/>
      <protection locked="0"/>
    </xf>
    <xf numFmtId="0" fontId="6" fillId="0" borderId="34" xfId="0" applyFont="1" applyBorder="1" applyProtection="1">
      <protection locked="0"/>
    </xf>
    <xf numFmtId="0" fontId="29" fillId="10" borderId="0" xfId="0" applyFont="1" applyFill="1" applyAlignment="1">
      <alignment horizontal="center"/>
    </xf>
    <xf numFmtId="2" fontId="29" fillId="10" borderId="0" xfId="0" applyNumberFormat="1" applyFont="1" applyFill="1" applyAlignment="1">
      <alignment horizontal="right"/>
    </xf>
    <xf numFmtId="2" fontId="16" fillId="10" borderId="0" xfId="0" applyNumberFormat="1" applyFont="1" applyFill="1" applyAlignment="1">
      <alignment horizontal="right"/>
    </xf>
    <xf numFmtId="2" fontId="18" fillId="10" borderId="0" xfId="0" applyNumberFormat="1" applyFont="1" applyFill="1"/>
    <xf numFmtId="0" fontId="0" fillId="10" borderId="0" xfId="0" applyFill="1"/>
    <xf numFmtId="0" fontId="1" fillId="10" borderId="0" xfId="0" applyFont="1" applyFill="1" applyAlignment="1">
      <alignment horizontal="left"/>
    </xf>
    <xf numFmtId="0" fontId="0" fillId="10" borderId="0" xfId="0" applyFill="1" applyAlignment="1">
      <alignment horizontal="center"/>
    </xf>
    <xf numFmtId="2" fontId="0" fillId="10" borderId="0" xfId="0" applyNumberFormat="1" applyFill="1" applyAlignment="1">
      <alignment horizontal="right"/>
    </xf>
    <xf numFmtId="2" fontId="1" fillId="10" borderId="0" xfId="0" applyNumberFormat="1" applyFont="1" applyFill="1"/>
    <xf numFmtId="0" fontId="0" fillId="10" borderId="0" xfId="0" applyFill="1" applyAlignment="1">
      <alignment wrapText="1"/>
    </xf>
    <xf numFmtId="0" fontId="0" fillId="0" borderId="0" xfId="0" applyAlignment="1">
      <alignment wrapText="1"/>
    </xf>
    <xf numFmtId="0" fontId="1" fillId="13" borderId="0" xfId="0" applyFont="1" applyFill="1" applyAlignment="1">
      <alignment wrapText="1"/>
    </xf>
    <xf numFmtId="0" fontId="1" fillId="13" borderId="16" xfId="0" applyFont="1" applyFill="1" applyBorder="1" applyAlignment="1">
      <alignment wrapText="1"/>
    </xf>
    <xf numFmtId="0" fontId="27" fillId="0" borderId="16" xfId="1" applyFont="1" applyBorder="1" applyAlignment="1">
      <alignment horizontal="left"/>
    </xf>
    <xf numFmtId="0" fontId="0" fillId="0" borderId="16" xfId="0" applyBorder="1" applyAlignment="1">
      <alignment horizontal="center"/>
    </xf>
    <xf numFmtId="2" fontId="0" fillId="0" borderId="16" xfId="0" applyNumberFormat="1" applyBorder="1" applyAlignment="1">
      <alignment horizontal="right"/>
    </xf>
    <xf numFmtId="2" fontId="1" fillId="0" borderId="16" xfId="0" applyNumberFormat="1" applyFont="1" applyBorder="1"/>
    <xf numFmtId="0" fontId="0" fillId="5" borderId="16" xfId="0" applyFill="1" applyBorder="1"/>
    <xf numFmtId="0" fontId="27" fillId="0" borderId="34" xfId="1" applyFont="1" applyBorder="1" applyAlignment="1">
      <alignment horizontal="left"/>
    </xf>
    <xf numFmtId="0" fontId="0" fillId="0" borderId="34" xfId="0" applyBorder="1" applyAlignment="1">
      <alignment horizontal="center"/>
    </xf>
    <xf numFmtId="0" fontId="0" fillId="0" borderId="0" xfId="0" applyAlignment="1">
      <alignment horizontal="center"/>
    </xf>
    <xf numFmtId="2" fontId="0" fillId="0" borderId="0" xfId="0" applyNumberFormat="1" applyAlignment="1">
      <alignment horizontal="right"/>
    </xf>
    <xf numFmtId="2" fontId="1" fillId="0" borderId="0" xfId="0" applyNumberFormat="1" applyFont="1"/>
    <xf numFmtId="0" fontId="4" fillId="11" borderId="16" xfId="0" applyFont="1" applyFill="1" applyBorder="1" applyAlignment="1">
      <alignment horizontal="left" vertical="top" wrapText="1"/>
    </xf>
    <xf numFmtId="0" fontId="4" fillId="11" borderId="16" xfId="0" applyFont="1" applyFill="1" applyBorder="1" applyAlignment="1">
      <alignment horizontal="center" vertical="top" wrapText="1"/>
    </xf>
    <xf numFmtId="2" fontId="4" fillId="11" borderId="16" xfId="0" applyNumberFormat="1" applyFont="1" applyFill="1" applyBorder="1" applyAlignment="1">
      <alignment horizontal="center" vertical="top" wrapText="1"/>
    </xf>
    <xf numFmtId="0" fontId="0" fillId="10" borderId="16" xfId="0" quotePrefix="1" applyFill="1" applyBorder="1" applyAlignment="1" applyProtection="1">
      <alignment horizontal="left"/>
      <protection locked="0"/>
    </xf>
    <xf numFmtId="0" fontId="0" fillId="0" borderId="16" xfId="0" applyBorder="1" applyAlignment="1" applyProtection="1">
      <alignment horizontal="left"/>
      <protection locked="0"/>
    </xf>
    <xf numFmtId="0" fontId="0" fillId="0" borderId="16" xfId="0" applyBorder="1" applyProtection="1">
      <protection locked="0"/>
    </xf>
    <xf numFmtId="0" fontId="16" fillId="10" borderId="0" xfId="0" applyFont="1" applyFill="1" applyAlignment="1">
      <alignment horizontal="left" vertical="center" wrapText="1"/>
    </xf>
    <xf numFmtId="0" fontId="16" fillId="0" borderId="16" xfId="0" applyFont="1" applyBorder="1" applyAlignment="1">
      <alignment vertical="center"/>
    </xf>
    <xf numFmtId="0" fontId="16" fillId="0" borderId="16" xfId="0" applyFont="1" applyBorder="1" applyAlignment="1">
      <alignment horizontal="center" vertical="center" wrapText="1"/>
    </xf>
    <xf numFmtId="0" fontId="34" fillId="11" borderId="16" xfId="0" applyFont="1" applyFill="1" applyBorder="1" applyAlignment="1">
      <alignment horizontal="center" vertical="center"/>
    </xf>
    <xf numFmtId="0" fontId="34" fillId="11" borderId="16" xfId="0" applyFont="1" applyFill="1" applyBorder="1" applyAlignment="1">
      <alignment horizontal="center" vertical="center" wrapText="1"/>
    </xf>
    <xf numFmtId="0" fontId="15" fillId="10" borderId="0" xfId="0" applyFont="1" applyFill="1" applyAlignment="1">
      <alignment vertical="center"/>
    </xf>
    <xf numFmtId="0" fontId="16" fillId="10" borderId="0" xfId="0" applyFont="1" applyFill="1" applyAlignment="1">
      <alignment vertical="center" wrapText="1"/>
    </xf>
    <xf numFmtId="0" fontId="16" fillId="0" borderId="0" xfId="0" applyFont="1" applyAlignment="1">
      <alignment vertical="center"/>
    </xf>
    <xf numFmtId="0" fontId="30" fillId="10" borderId="43" xfId="0" applyFont="1" applyFill="1" applyBorder="1" applyAlignment="1">
      <alignment vertical="center" wrapText="1"/>
    </xf>
    <xf numFmtId="0" fontId="31" fillId="10" borderId="44" xfId="0" applyFont="1" applyFill="1" applyBorder="1" applyAlignment="1">
      <alignment vertical="center" wrapText="1"/>
    </xf>
    <xf numFmtId="0" fontId="32" fillId="10" borderId="44" xfId="0" applyFont="1" applyFill="1" applyBorder="1" applyAlignment="1">
      <alignment vertical="center" wrapText="1"/>
    </xf>
    <xf numFmtId="0" fontId="32" fillId="10" borderId="45" xfId="0" applyFont="1" applyFill="1" applyBorder="1" applyAlignment="1">
      <alignment vertical="center" wrapText="1"/>
    </xf>
    <xf numFmtId="0" fontId="0" fillId="0" borderId="25" xfId="0" applyBorder="1"/>
    <xf numFmtId="2" fontId="0" fillId="0" borderId="22" xfId="0" applyNumberFormat="1" applyBorder="1"/>
    <xf numFmtId="2" fontId="0" fillId="0" borderId="28" xfId="0" applyNumberFormat="1" applyBorder="1"/>
    <xf numFmtId="2" fontId="0" fillId="0" borderId="27" xfId="0" applyNumberFormat="1" applyBorder="1"/>
    <xf numFmtId="0" fontId="19" fillId="10" borderId="0" xfId="0" applyFont="1" applyFill="1"/>
    <xf numFmtId="0" fontId="19" fillId="10" borderId="0" xfId="0" applyFont="1" applyFill="1" applyAlignment="1">
      <alignment horizontal="center"/>
    </xf>
    <xf numFmtId="0" fontId="20" fillId="10" borderId="0" xfId="0" applyFont="1" applyFill="1"/>
    <xf numFmtId="0" fontId="21" fillId="10" borderId="0" xfId="0" applyFont="1" applyFill="1"/>
    <xf numFmtId="0" fontId="22" fillId="10" borderId="0" xfId="0" applyFont="1" applyFill="1"/>
    <xf numFmtId="0" fontId="19" fillId="0" borderId="0" xfId="0" applyFont="1"/>
    <xf numFmtId="0" fontId="6" fillId="10" borderId="0" xfId="0" applyFont="1" applyFill="1"/>
    <xf numFmtId="0" fontId="6" fillId="10" borderId="0" xfId="0" applyFont="1" applyFill="1" applyAlignment="1">
      <alignment horizontal="center"/>
    </xf>
    <xf numFmtId="0" fontId="11" fillId="10" borderId="0" xfId="0" applyFont="1" applyFill="1"/>
    <xf numFmtId="0" fontId="24" fillId="10" borderId="0" xfId="0" applyFont="1" applyFill="1"/>
    <xf numFmtId="0" fontId="23" fillId="10" borderId="0" xfId="0" applyFont="1" applyFill="1" applyAlignment="1">
      <alignment horizontal="left"/>
    </xf>
    <xf numFmtId="0" fontId="25" fillId="10" borderId="0" xfId="0" applyFont="1" applyFill="1"/>
    <xf numFmtId="0" fontId="24" fillId="0" borderId="0" xfId="0" applyFont="1"/>
    <xf numFmtId="0" fontId="4" fillId="11" borderId="16" xfId="0" applyFont="1" applyFill="1" applyBorder="1" applyAlignment="1">
      <alignment horizontal="left"/>
    </xf>
    <xf numFmtId="0" fontId="4" fillId="11" borderId="16" xfId="0" applyFont="1" applyFill="1" applyBorder="1" applyAlignment="1">
      <alignment horizontal="center" vertical="center"/>
    </xf>
    <xf numFmtId="0" fontId="4" fillId="11" borderId="16" xfId="0" applyFont="1" applyFill="1" applyBorder="1" applyAlignment="1">
      <alignment horizontal="left" vertical="center"/>
    </xf>
    <xf numFmtId="0" fontId="6" fillId="10" borderId="0" xfId="0" applyFont="1" applyFill="1" applyAlignment="1">
      <alignment wrapText="1"/>
    </xf>
    <xf numFmtId="0" fontId="4" fillId="11" borderId="18" xfId="0" applyFont="1" applyFill="1" applyBorder="1" applyAlignment="1">
      <alignment horizontal="center" vertical="center"/>
    </xf>
    <xf numFmtId="0" fontId="4" fillId="11" borderId="16" xfId="0" applyFont="1" applyFill="1" applyBorder="1" applyAlignment="1">
      <alignment horizontal="center" vertical="center" wrapText="1"/>
    </xf>
    <xf numFmtId="0" fontId="6" fillId="0" borderId="0" xfId="0" applyFont="1" applyAlignment="1">
      <alignment wrapText="1"/>
    </xf>
    <xf numFmtId="0" fontId="5" fillId="11" borderId="16" xfId="0" applyFont="1" applyFill="1" applyBorder="1" applyAlignment="1">
      <alignment horizontal="center"/>
    </xf>
    <xf numFmtId="0" fontId="4" fillId="11" borderId="16" xfId="0" applyFont="1" applyFill="1" applyBorder="1" applyAlignment="1">
      <alignment horizontal="left" wrapText="1"/>
    </xf>
    <xf numFmtId="0" fontId="33" fillId="11" borderId="16" xfId="1" applyFont="1" applyFill="1" applyBorder="1" applyAlignment="1">
      <alignment horizontal="right"/>
    </xf>
    <xf numFmtId="2" fontId="26" fillId="10" borderId="16" xfId="0" applyNumberFormat="1" applyFont="1" applyFill="1" applyBorder="1"/>
    <xf numFmtId="168" fontId="6" fillId="10" borderId="16" xfId="0" applyNumberFormat="1" applyFont="1" applyFill="1" applyBorder="1"/>
    <xf numFmtId="0" fontId="4" fillId="11" borderId="16" xfId="0" applyFont="1" applyFill="1" applyBorder="1"/>
    <xf numFmtId="170" fontId="6" fillId="10" borderId="0" xfId="0" applyNumberFormat="1" applyFont="1" applyFill="1" applyAlignment="1">
      <alignment wrapText="1"/>
    </xf>
    <xf numFmtId="0" fontId="33" fillId="11" borderId="34" xfId="1" applyFont="1" applyFill="1" applyBorder="1" applyAlignment="1">
      <alignment horizontal="right"/>
    </xf>
    <xf numFmtId="168" fontId="6" fillId="10" borderId="34" xfId="0" applyNumberFormat="1" applyFont="1" applyFill="1" applyBorder="1"/>
    <xf numFmtId="0" fontId="26" fillId="10" borderId="0" xfId="0" applyFont="1" applyFill="1" applyAlignment="1">
      <alignment horizontal="right"/>
    </xf>
    <xf numFmtId="0" fontId="26" fillId="10" borderId="0" xfId="0" applyFont="1" applyFill="1" applyAlignment="1">
      <alignment horizontal="center"/>
    </xf>
    <xf numFmtId="0" fontId="6" fillId="10" borderId="39" xfId="0" applyFont="1" applyFill="1" applyBorder="1"/>
    <xf numFmtId="168" fontId="6" fillId="10" borderId="39" xfId="0" applyNumberFormat="1" applyFont="1" applyFill="1" applyBorder="1"/>
    <xf numFmtId="168" fontId="6" fillId="10" borderId="0" xfId="0" applyNumberFormat="1" applyFont="1" applyFill="1"/>
    <xf numFmtId="0" fontId="6" fillId="0" borderId="0" xfId="0" applyFont="1" applyAlignment="1">
      <alignment horizontal="center"/>
    </xf>
    <xf numFmtId="0" fontId="12" fillId="10" borderId="0" xfId="0" applyFont="1" applyFill="1" applyAlignment="1">
      <alignment horizontal="left" vertical="center"/>
    </xf>
    <xf numFmtId="0" fontId="2" fillId="10" borderId="0" xfId="0" applyFont="1" applyFill="1"/>
    <xf numFmtId="0" fontId="2" fillId="6" borderId="0" xfId="0" applyFont="1" applyFill="1"/>
    <xf numFmtId="0" fontId="2" fillId="0" borderId="0" xfId="0" applyFont="1"/>
    <xf numFmtId="0" fontId="4" fillId="14" borderId="16"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4" fillId="15" borderId="16" xfId="0" applyFont="1" applyFill="1" applyBorder="1" applyAlignment="1">
      <alignment horizontal="center" vertical="center" wrapText="1"/>
    </xf>
    <xf numFmtId="0" fontId="4" fillId="16" borderId="16" xfId="0" applyFont="1" applyFill="1" applyBorder="1" applyAlignment="1">
      <alignment horizontal="center" vertical="center" wrapText="1"/>
    </xf>
    <xf numFmtId="0" fontId="2" fillId="10" borderId="0" xfId="0" applyFont="1" applyFill="1" applyAlignment="1">
      <alignment vertical="center"/>
    </xf>
    <xf numFmtId="0" fontId="4" fillId="11" borderId="16" xfId="0" applyFont="1" applyFill="1" applyBorder="1" applyAlignment="1">
      <alignment vertical="center"/>
    </xf>
    <xf numFmtId="2" fontId="35" fillId="11" borderId="16" xfId="0" applyNumberFormat="1" applyFont="1" applyFill="1" applyBorder="1" applyAlignment="1">
      <alignment vertical="center"/>
    </xf>
    <xf numFmtId="0" fontId="8" fillId="7" borderId="16" xfId="0" applyFont="1" applyFill="1" applyBorder="1" applyAlignment="1">
      <alignment horizontal="center" vertical="center" wrapText="1"/>
    </xf>
    <xf numFmtId="0" fontId="7" fillId="6" borderId="16" xfId="0" applyFont="1" applyFill="1" applyBorder="1" applyAlignment="1">
      <alignment horizontal="center" vertical="center"/>
    </xf>
    <xf numFmtId="0" fontId="7" fillId="6" borderId="17" xfId="0" applyFont="1" applyFill="1" applyBorder="1" applyAlignment="1">
      <alignment horizontal="center" vertical="center"/>
    </xf>
    <xf numFmtId="0" fontId="2" fillId="0" borderId="0" xfId="0" applyFont="1" applyAlignment="1">
      <alignment vertical="center"/>
    </xf>
    <xf numFmtId="0" fontId="0" fillId="6" borderId="16" xfId="0" applyFill="1" applyBorder="1" applyAlignment="1">
      <alignment horizontal="left"/>
    </xf>
    <xf numFmtId="2" fontId="0" fillId="6" borderId="16" xfId="0" applyNumberFormat="1" applyFill="1" applyBorder="1" applyAlignment="1">
      <alignment horizontal="left"/>
    </xf>
    <xf numFmtId="0" fontId="2" fillId="10" borderId="0" xfId="0" applyFont="1" applyFill="1" applyAlignment="1">
      <alignment horizontal="left"/>
    </xf>
    <xf numFmtId="0" fontId="0" fillId="10" borderId="0" xfId="0" applyFill="1" applyAlignment="1">
      <alignment horizontal="left"/>
    </xf>
    <xf numFmtId="0" fontId="2" fillId="6" borderId="16" xfId="0" applyFont="1" applyFill="1" applyBorder="1"/>
    <xf numFmtId="0" fontId="2" fillId="6" borderId="17" xfId="0" applyFont="1" applyFill="1" applyBorder="1"/>
    <xf numFmtId="2" fontId="4" fillId="11" borderId="16" xfId="0" applyNumberFormat="1" applyFont="1" applyFill="1" applyBorder="1" applyAlignment="1">
      <alignment vertical="center"/>
    </xf>
    <xf numFmtId="0" fontId="9" fillId="10" borderId="0" xfId="0" applyFont="1" applyFill="1" applyAlignment="1">
      <alignment vertical="center"/>
    </xf>
    <xf numFmtId="0" fontId="9" fillId="10" borderId="0" xfId="0" applyFont="1" applyFill="1"/>
    <xf numFmtId="0" fontId="8" fillId="6" borderId="16" xfId="0" applyFont="1" applyFill="1" applyBorder="1" applyAlignment="1">
      <alignment horizontal="center" vertical="center"/>
    </xf>
    <xf numFmtId="2" fontId="2" fillId="6" borderId="16" xfId="0" applyNumberFormat="1" applyFont="1" applyFill="1" applyBorder="1"/>
    <xf numFmtId="0" fontId="8" fillId="6" borderId="18" xfId="0" applyFont="1" applyFill="1" applyBorder="1" applyAlignment="1">
      <alignment horizontal="center" vertical="center"/>
    </xf>
    <xf numFmtId="0" fontId="12" fillId="10" borderId="0" xfId="0" applyFont="1" applyFill="1" applyAlignment="1">
      <alignment vertical="center"/>
    </xf>
    <xf numFmtId="0" fontId="27" fillId="0" borderId="16" xfId="1" applyFont="1" applyBorder="1" applyAlignment="1">
      <alignment horizontal="right"/>
    </xf>
    <xf numFmtId="1" fontId="6" fillId="0" borderId="16" xfId="0" applyNumberFormat="1" applyFont="1" applyBorder="1"/>
    <xf numFmtId="1" fontId="26" fillId="0" borderId="16" xfId="0" applyNumberFormat="1" applyFont="1" applyBorder="1"/>
    <xf numFmtId="0" fontId="0" fillId="0" borderId="37" xfId="0" applyBorder="1" applyAlignment="1">
      <alignment vertical="center"/>
    </xf>
    <xf numFmtId="169" fontId="0" fillId="0" borderId="16" xfId="0" applyNumberFormat="1" applyBorder="1" applyAlignment="1">
      <alignment vertical="center"/>
    </xf>
    <xf numFmtId="1" fontId="0" fillId="0" borderId="16" xfId="0" applyNumberFormat="1" applyBorder="1" applyAlignment="1">
      <alignment vertical="center"/>
    </xf>
    <xf numFmtId="1" fontId="1" fillId="0" borderId="49" xfId="0" applyNumberFormat="1" applyFont="1" applyBorder="1" applyAlignment="1">
      <alignment vertical="center"/>
    </xf>
    <xf numFmtId="0" fontId="4" fillId="11" borderId="37" xfId="0" applyFont="1" applyFill="1" applyBorder="1" applyAlignment="1">
      <alignment vertical="center"/>
    </xf>
    <xf numFmtId="2" fontId="4" fillId="17" borderId="16" xfId="0" applyNumberFormat="1" applyFont="1" applyFill="1" applyBorder="1" applyAlignment="1">
      <alignment horizontal="center" vertical="center"/>
    </xf>
    <xf numFmtId="2" fontId="4" fillId="17" borderId="49" xfId="0" applyNumberFormat="1" applyFont="1" applyFill="1" applyBorder="1" applyAlignment="1">
      <alignment horizontal="center" vertical="center"/>
    </xf>
    <xf numFmtId="2" fontId="26" fillId="18" borderId="16" xfId="0" applyNumberFormat="1" applyFont="1" applyFill="1" applyBorder="1" applyAlignment="1">
      <alignment horizontal="center" vertical="center"/>
    </xf>
    <xf numFmtId="2" fontId="26" fillId="18" borderId="49" xfId="0" applyNumberFormat="1" applyFont="1" applyFill="1" applyBorder="1" applyAlignment="1">
      <alignment horizontal="center" vertical="center"/>
    </xf>
    <xf numFmtId="2" fontId="26" fillId="19" borderId="16" xfId="0" applyNumberFormat="1" applyFont="1" applyFill="1" applyBorder="1" applyAlignment="1">
      <alignment horizontal="center" vertical="center"/>
    </xf>
    <xf numFmtId="2" fontId="26" fillId="19" borderId="49" xfId="0" applyNumberFormat="1" applyFont="1" applyFill="1" applyBorder="1" applyAlignment="1">
      <alignment horizontal="center" vertical="center"/>
    </xf>
    <xf numFmtId="2" fontId="26" fillId="0" borderId="16" xfId="0" applyNumberFormat="1" applyFont="1" applyBorder="1" applyAlignment="1">
      <alignment horizontal="center" vertical="center"/>
    </xf>
    <xf numFmtId="2" fontId="26" fillId="0" borderId="49" xfId="0" applyNumberFormat="1" applyFont="1" applyBorder="1" applyAlignment="1">
      <alignment horizontal="center" vertical="center"/>
    </xf>
    <xf numFmtId="2" fontId="9" fillId="10" borderId="0" xfId="0" applyNumberFormat="1" applyFont="1" applyFill="1"/>
    <xf numFmtId="0" fontId="4" fillId="11" borderId="37" xfId="0" applyFont="1" applyFill="1" applyBorder="1" applyAlignment="1">
      <alignment horizontal="center" vertical="center"/>
    </xf>
    <xf numFmtId="2" fontId="7" fillId="10" borderId="0" xfId="0" applyNumberFormat="1" applyFont="1" applyFill="1"/>
    <xf numFmtId="0" fontId="4" fillId="11" borderId="40" xfId="0" applyFont="1" applyFill="1" applyBorder="1" applyAlignment="1">
      <alignment vertical="center"/>
    </xf>
    <xf numFmtId="0" fontId="27" fillId="12" borderId="41" xfId="0" applyFont="1" applyFill="1" applyBorder="1" applyAlignment="1">
      <alignment vertical="center"/>
    </xf>
    <xf numFmtId="0" fontId="27" fillId="12" borderId="50" xfId="0" applyFont="1" applyFill="1" applyBorder="1" applyAlignment="1">
      <alignment vertical="center"/>
    </xf>
    <xf numFmtId="0" fontId="4" fillId="10" borderId="0" xfId="0" applyFont="1" applyFill="1" applyAlignment="1">
      <alignment vertical="center"/>
    </xf>
    <xf numFmtId="0" fontId="9" fillId="10" borderId="0" xfId="0" applyFont="1" applyFill="1" applyAlignment="1">
      <alignment horizontal="center" vertical="center"/>
    </xf>
    <xf numFmtId="0" fontId="8" fillId="10" borderId="0" xfId="0" applyFont="1" applyFill="1"/>
    <xf numFmtId="2" fontId="8" fillId="10" borderId="0" xfId="0" applyNumberFormat="1" applyFont="1" applyFill="1"/>
    <xf numFmtId="1" fontId="6" fillId="10" borderId="0" xfId="0" applyNumberFormat="1" applyFont="1" applyFill="1"/>
    <xf numFmtId="2" fontId="2" fillId="10" borderId="0" xfId="0" applyNumberFormat="1" applyFont="1" applyFill="1"/>
    <xf numFmtId="0" fontId="10" fillId="10" borderId="0" xfId="0" applyFont="1" applyFill="1"/>
    <xf numFmtId="0" fontId="10" fillId="0" borderId="0" xfId="0" applyFont="1"/>
    <xf numFmtId="0" fontId="27" fillId="10" borderId="0" xfId="0" applyFont="1" applyFill="1" applyAlignment="1">
      <alignment horizontal="center" vertical="center" wrapText="1"/>
    </xf>
    <xf numFmtId="0" fontId="0" fillId="10" borderId="16" xfId="0" applyFill="1" applyBorder="1" applyAlignment="1" applyProtection="1">
      <alignment horizontal="left"/>
      <protection locked="0"/>
    </xf>
    <xf numFmtId="0" fontId="38" fillId="10" borderId="0" xfId="0" applyFont="1" applyFill="1" applyAlignment="1">
      <alignment vertical="center" wrapText="1"/>
    </xf>
    <xf numFmtId="0" fontId="39" fillId="10" borderId="0" xfId="0" applyFont="1" applyFill="1" applyAlignment="1">
      <alignment vertical="center" wrapText="1"/>
    </xf>
    <xf numFmtId="0" fontId="40" fillId="10" borderId="0" xfId="0" applyFont="1" applyFill="1" applyAlignment="1">
      <alignment vertical="center" wrapText="1"/>
    </xf>
    <xf numFmtId="0" fontId="16" fillId="10" borderId="0" xfId="0" quotePrefix="1" applyFont="1" applyFill="1" applyAlignment="1">
      <alignment vertical="center" wrapText="1"/>
    </xf>
    <xf numFmtId="0" fontId="40" fillId="10" borderId="0" xfId="0" quotePrefix="1" applyFont="1" applyFill="1" applyAlignment="1">
      <alignment vertical="center" wrapText="1"/>
    </xf>
    <xf numFmtId="0" fontId="0" fillId="10" borderId="0" xfId="0" applyFill="1" applyAlignment="1">
      <alignment vertical="center" wrapText="1"/>
    </xf>
    <xf numFmtId="0" fontId="39" fillId="10" borderId="0" xfId="0" quotePrefix="1" applyFont="1" applyFill="1" applyAlignment="1">
      <alignment vertical="center" wrapText="1"/>
    </xf>
    <xf numFmtId="0" fontId="0" fillId="0" borderId="37" xfId="0" applyBorder="1" applyAlignment="1" applyProtection="1">
      <alignment vertical="center"/>
      <protection locked="0"/>
    </xf>
    <xf numFmtId="169" fontId="0" fillId="0" borderId="16" xfId="0" applyNumberFormat="1" applyBorder="1" applyAlignment="1" applyProtection="1">
      <alignment vertical="center"/>
      <protection locked="0"/>
    </xf>
    <xf numFmtId="1" fontId="0" fillId="0" borderId="16" xfId="0" applyNumberFormat="1" applyBorder="1" applyAlignment="1" applyProtection="1">
      <alignment vertical="center"/>
      <protection locked="0"/>
    </xf>
    <xf numFmtId="1" fontId="1" fillId="0" borderId="49" xfId="0" applyNumberFormat="1" applyFont="1" applyBorder="1" applyAlignment="1" applyProtection="1">
      <alignment vertical="center"/>
      <protection locked="0"/>
    </xf>
    <xf numFmtId="0" fontId="0" fillId="0" borderId="38" xfId="0" applyBorder="1" applyAlignment="1" applyProtection="1">
      <alignment vertical="center"/>
      <protection locked="0"/>
    </xf>
    <xf numFmtId="169" fontId="0" fillId="0" borderId="34" xfId="0" applyNumberFormat="1" applyBorder="1" applyAlignment="1" applyProtection="1">
      <alignment vertical="center"/>
      <protection locked="0"/>
    </xf>
    <xf numFmtId="1" fontId="0" fillId="0" borderId="34" xfId="0" applyNumberFormat="1" applyBorder="1" applyAlignment="1" applyProtection="1">
      <alignment vertical="center"/>
      <protection locked="0"/>
    </xf>
    <xf numFmtId="1" fontId="1" fillId="0" borderId="51" xfId="0" applyNumberFormat="1" applyFont="1" applyBorder="1" applyAlignment="1" applyProtection="1">
      <alignment vertical="center"/>
      <protection locked="0"/>
    </xf>
    <xf numFmtId="0" fontId="16" fillId="10" borderId="0" xfId="0" applyFont="1" applyFill="1" applyAlignment="1">
      <alignment horizontal="left" vertical="center" wrapText="1"/>
    </xf>
    <xf numFmtId="0" fontId="18" fillId="10" borderId="0" xfId="0" applyFont="1" applyFill="1" applyAlignment="1">
      <alignment horizontal="center" vertical="center" wrapText="1"/>
    </xf>
    <xf numFmtId="0" fontId="4" fillId="11" borderId="34" xfId="0" applyFont="1" applyFill="1" applyBorder="1" applyAlignment="1">
      <alignment horizontal="center" vertical="center" wrapText="1"/>
    </xf>
    <xf numFmtId="0" fontId="4" fillId="11" borderId="35" xfId="0" applyFont="1" applyFill="1" applyBorder="1" applyAlignment="1">
      <alignment horizontal="center" vertical="center"/>
    </xf>
    <xf numFmtId="0" fontId="4" fillId="11" borderId="36" xfId="0" applyFont="1" applyFill="1" applyBorder="1" applyAlignment="1">
      <alignment horizontal="center" vertical="center"/>
    </xf>
    <xf numFmtId="0" fontId="4" fillId="11" borderId="16" xfId="0" applyFont="1" applyFill="1" applyBorder="1" applyAlignment="1">
      <alignment horizontal="center" vertical="center"/>
    </xf>
    <xf numFmtId="0" fontId="5" fillId="11" borderId="16" xfId="0" applyFont="1" applyFill="1" applyBorder="1" applyAlignment="1">
      <alignment horizontal="center" vertical="center"/>
    </xf>
    <xf numFmtId="0" fontId="4" fillId="11" borderId="36" xfId="0" applyFont="1" applyFill="1" applyBorder="1" applyAlignment="1">
      <alignment horizontal="center" vertical="center" wrapText="1"/>
    </xf>
    <xf numFmtId="0" fontId="4" fillId="11" borderId="34" xfId="0" applyFont="1" applyFill="1" applyBorder="1" applyAlignment="1">
      <alignment horizontal="center" vertical="center"/>
    </xf>
    <xf numFmtId="0" fontId="5" fillId="11" borderId="36" xfId="0" applyFont="1" applyFill="1" applyBorder="1" applyAlignment="1">
      <alignment horizontal="center" vertical="center"/>
    </xf>
    <xf numFmtId="0" fontId="4" fillId="11" borderId="39" xfId="0" applyFont="1" applyFill="1" applyBorder="1" applyAlignment="1">
      <alignment horizontal="center" vertical="center"/>
    </xf>
    <xf numFmtId="0" fontId="4" fillId="11" borderId="42" xfId="0" applyFont="1" applyFill="1" applyBorder="1" applyAlignment="1">
      <alignment horizontal="center" vertical="center"/>
    </xf>
    <xf numFmtId="2" fontId="26" fillId="9" borderId="16" xfId="0" applyNumberFormat="1" applyFont="1" applyFill="1" applyBorder="1" applyAlignment="1">
      <alignment horizontal="center" vertical="center"/>
    </xf>
    <xf numFmtId="0" fontId="26" fillId="9" borderId="16" xfId="0" applyFont="1" applyFill="1" applyBorder="1" applyAlignment="1">
      <alignment horizontal="center" vertical="center"/>
    </xf>
    <xf numFmtId="0" fontId="26" fillId="9" borderId="16" xfId="0" applyFont="1" applyFill="1" applyBorder="1" applyAlignment="1">
      <alignment vertical="center"/>
    </xf>
    <xf numFmtId="0" fontId="4" fillId="10" borderId="0" xfId="0" applyFont="1" applyFill="1" applyAlignment="1">
      <alignment horizontal="left" vertical="center"/>
    </xf>
    <xf numFmtId="2" fontId="2" fillId="6" borderId="17" xfId="0" applyNumberFormat="1" applyFont="1" applyFill="1" applyBorder="1" applyAlignment="1">
      <alignment horizontal="center"/>
    </xf>
    <xf numFmtId="2" fontId="2" fillId="6" borderId="18" xfId="0" applyNumberFormat="1" applyFont="1" applyFill="1" applyBorder="1" applyAlignment="1">
      <alignment horizontal="center"/>
    </xf>
    <xf numFmtId="0" fontId="2" fillId="10" borderId="0" xfId="0" applyFont="1" applyFill="1" applyAlignment="1">
      <alignment horizontal="center" vertical="center"/>
    </xf>
    <xf numFmtId="2" fontId="2" fillId="6" borderId="16" xfId="0" applyNumberFormat="1" applyFont="1" applyFill="1" applyBorder="1" applyAlignment="1">
      <alignment horizontal="center"/>
    </xf>
    <xf numFmtId="0" fontId="8" fillId="6" borderId="16" xfId="0" applyFont="1" applyFill="1" applyBorder="1" applyAlignment="1">
      <alignment horizontal="center" vertical="center"/>
    </xf>
    <xf numFmtId="0" fontId="4" fillId="10" borderId="0" xfId="0" applyFont="1" applyFill="1" applyAlignment="1">
      <alignment horizontal="left"/>
    </xf>
    <xf numFmtId="0" fontId="8" fillId="7" borderId="17"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0" fillId="0" borderId="16" xfId="0" applyBorder="1" applyAlignment="1" applyProtection="1">
      <alignment horizontal="center"/>
      <protection locked="0"/>
    </xf>
    <xf numFmtId="0" fontId="4" fillId="11" borderId="16" xfId="0" applyFont="1" applyFill="1" applyBorder="1" applyAlignment="1">
      <alignment horizontal="left"/>
    </xf>
    <xf numFmtId="0" fontId="8" fillId="7" borderId="16" xfId="0" applyFont="1" applyFill="1" applyBorder="1" applyAlignment="1">
      <alignment horizontal="center" vertical="center" wrapText="1"/>
    </xf>
    <xf numFmtId="0" fontId="2" fillId="6" borderId="16" xfId="0" applyFont="1" applyFill="1" applyBorder="1" applyAlignment="1">
      <alignment horizontal="left" vertical="center"/>
    </xf>
    <xf numFmtId="2" fontId="2" fillId="6" borderId="16" xfId="0" applyNumberFormat="1" applyFont="1" applyFill="1" applyBorder="1" applyAlignment="1">
      <alignment horizontal="right" vertical="center"/>
    </xf>
    <xf numFmtId="0" fontId="4" fillId="11" borderId="48" xfId="0" applyFont="1" applyFill="1" applyBorder="1" applyAlignment="1">
      <alignment horizontal="center" vertical="center" wrapText="1"/>
    </xf>
    <xf numFmtId="0" fontId="4" fillId="11" borderId="49" xfId="0" applyFont="1" applyFill="1" applyBorder="1" applyAlignment="1">
      <alignment horizontal="center" vertical="center" wrapText="1"/>
    </xf>
    <xf numFmtId="0" fontId="27" fillId="12" borderId="40" xfId="0" applyFont="1" applyFill="1" applyBorder="1" applyAlignment="1">
      <alignment horizontal="right" vertical="center"/>
    </xf>
    <xf numFmtId="0" fontId="27" fillId="12" borderId="41" xfId="0" applyFont="1" applyFill="1" applyBorder="1" applyAlignment="1">
      <alignment horizontal="right" vertical="center"/>
    </xf>
    <xf numFmtId="0" fontId="4" fillId="11" borderId="46" xfId="0" applyFont="1" applyFill="1" applyBorder="1" applyAlignment="1">
      <alignment horizontal="center" vertical="center" wrapText="1"/>
    </xf>
    <xf numFmtId="0" fontId="4" fillId="11" borderId="37"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4" fillId="11" borderId="16" xfId="0" applyFont="1" applyFill="1" applyBorder="1" applyAlignment="1">
      <alignment horizontal="center" vertical="center" wrapText="1"/>
    </xf>
    <xf numFmtId="2" fontId="26" fillId="9" borderId="49" xfId="0" applyNumberFormat="1" applyFont="1" applyFill="1" applyBorder="1" applyAlignment="1">
      <alignment horizontal="center" vertical="center"/>
    </xf>
    <xf numFmtId="2" fontId="26" fillId="9" borderId="41" xfId="0" applyNumberFormat="1" applyFont="1" applyFill="1" applyBorder="1" applyAlignment="1">
      <alignment horizontal="center" vertical="center"/>
    </xf>
    <xf numFmtId="2" fontId="26" fillId="9" borderId="50" xfId="0" applyNumberFormat="1" applyFont="1" applyFill="1" applyBorder="1" applyAlignment="1">
      <alignment horizontal="center" vertical="center"/>
    </xf>
    <xf numFmtId="0" fontId="4" fillId="11" borderId="49" xfId="0" applyFont="1" applyFill="1" applyBorder="1" applyAlignment="1">
      <alignment horizontal="center" vertical="center"/>
    </xf>
    <xf numFmtId="0" fontId="0" fillId="10" borderId="37" xfId="0" applyFill="1" applyBorder="1" applyAlignment="1">
      <alignment horizontal="center" vertical="center"/>
    </xf>
    <xf numFmtId="0" fontId="0" fillId="10" borderId="16" xfId="0" applyFill="1" applyBorder="1" applyAlignment="1">
      <alignment horizontal="center" vertical="center"/>
    </xf>
    <xf numFmtId="0" fontId="0" fillId="10" borderId="49" xfId="0" applyFill="1" applyBorder="1" applyAlignment="1">
      <alignment horizontal="center" vertical="center"/>
    </xf>
  </cellXfs>
  <cellStyles count="2">
    <cellStyle name="Normal" xfId="0" builtinId="0"/>
    <cellStyle name="Normal 2" xfId="1" xr:uid="{23B4D854-9683-45F8-A781-A0F240247830}"/>
  </cellStyles>
  <dxfs count="59">
    <dxf>
      <numFmt numFmtId="165" formatCode="0.00000"/>
      <alignment horizontal="right" vertical="bottom"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border>
    </dxf>
    <dxf>
      <border>
        <right style="thin">
          <color theme="4" tint="0.39997558519241921"/>
        </right>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4" formatCode="#,##0.0000"/>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4" formatCode="#,##0.0000"/>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font>
      <numFmt numFmtId="165" formatCode="0.00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font>
      <numFmt numFmtId="165" formatCode="0.00000"/>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0.00000"/>
      <fill>
        <patternFill patternType="solid">
          <fgColor theme="4"/>
          <bgColor theme="4" tint="0.79998168889431442"/>
        </patternFill>
      </fill>
      <alignment horizontal="right"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numFmt numFmtId="165" formatCode="0.00000"/>
      <fill>
        <patternFill patternType="solid">
          <fgColor theme="4"/>
          <bgColor theme="4" tint="0.79998168889431442"/>
        </patternFill>
      </fill>
      <alignment horizontal="right"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fill>
        <patternFill patternType="solid">
          <fgColor theme="4"/>
          <bgColor theme="4" tint="0.79998168889431442"/>
        </patternFill>
      </fill>
      <alignment horizontal="left" vertical="bottom"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65" formatCode="0.00000"/>
      <alignment horizontal="right" vertical="bottom" textRotation="0" wrapText="0" indent="0" justifyLastLine="0" shrinkToFit="0" readingOrder="0"/>
    </dxf>
    <dxf>
      <alignment horizontal="left" vertical="bottom" textRotation="0" wrapText="0" indent="0" justifyLastLine="0" shrinkToFit="0" readingOrder="0"/>
    </dxf>
    <dxf>
      <numFmt numFmtId="165" formatCode="0.0000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numFmt numFmtId="165" formatCode="0.00000"/>
      <border diagonalUp="0" diagonalDown="0">
        <left/>
        <right/>
        <top style="thin">
          <color theme="4" tint="0.39997558519241921"/>
        </top>
        <bottom/>
        <vertical/>
        <horizontal/>
      </border>
    </dxf>
    <dxf>
      <numFmt numFmtId="165" formatCode="0.0000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65" formatCode="0.00000"/>
      <alignment horizontal="right" vertical="top" textRotation="0" indent="0" justifyLastLine="0" shrinkToFit="0" readingOrder="0"/>
    </dxf>
    <dxf>
      <numFmt numFmtId="0" formatCode="General"/>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numFmt numFmtId="165" formatCode="0.00000"/>
      <alignment horizontal="right" vertical="bottom" textRotation="0" wrapText="0" indent="0" justifyLastLine="0" shrinkToFit="0" readingOrder="0"/>
    </dxf>
    <dxf>
      <numFmt numFmtId="0" formatCode="General"/>
    </dxf>
    <dxf>
      <alignment horizontal="left" vertical="bottom" textRotation="0" wrapText="0" indent="0" justifyLastLine="0" shrinkToFit="0" readingOrder="0"/>
    </dxf>
    <dxf>
      <numFmt numFmtId="2" formatCode="0.00"/>
      <fill>
        <patternFill patternType="none">
          <fgColor indexed="64"/>
          <bgColor indexed="65"/>
        </patternFill>
      </fill>
      <border diagonalUp="0" diagonalDown="0">
        <left style="thin">
          <color theme="4" tint="0.79998168889431442"/>
        </left>
        <right/>
        <top style="thin">
          <color theme="4" tint="0.39997558519241921"/>
        </top>
        <bottom style="thin">
          <color theme="4" tint="0.39997558519241921"/>
        </bottom>
        <vertical/>
        <horizontal/>
      </border>
    </dxf>
    <dxf>
      <numFmt numFmtId="2" formatCode="0.00"/>
      <fill>
        <patternFill patternType="none">
          <fgColor indexed="64"/>
          <bgColor indexed="65"/>
        </patternFill>
      </fill>
      <border diagonalUp="0" diagonalDown="0">
        <left style="thin">
          <color theme="4" tint="0.79998168889431442"/>
        </left>
        <right style="thin">
          <color theme="4" tint="0.79998168889431442"/>
        </right>
        <top style="thin">
          <color theme="4" tint="0.39997558519241921"/>
        </top>
        <bottom style="thin">
          <color theme="4" tint="0.39997558519241921"/>
        </bottom>
        <vertical/>
        <horizontal/>
      </border>
    </dxf>
    <dxf>
      <numFmt numFmtId="2" formatCode="0.00"/>
      <fill>
        <patternFill patternType="none">
          <fgColor indexed="64"/>
          <bgColor indexed="65"/>
        </patternFill>
      </fill>
      <border diagonalUp="0" diagonalDown="0">
        <left style="thin">
          <color theme="4" tint="0.79998168889431442"/>
        </left>
        <right style="thin">
          <color theme="4" tint="0.79998168889431442"/>
        </right>
        <top style="thin">
          <color theme="4" tint="0.39997558519241921"/>
        </top>
        <bottom style="thin">
          <color theme="4" tint="0.39997558519241921"/>
        </bottom>
        <vertical/>
        <horizontal/>
      </border>
    </dxf>
    <dxf>
      <numFmt numFmtId="2" formatCode="0.00"/>
      <fill>
        <patternFill patternType="none">
          <fgColor indexed="64"/>
          <bgColor indexed="65"/>
        </patternFill>
      </fill>
      <border diagonalUp="0" diagonalDown="0">
        <left style="thin">
          <color theme="4" tint="0.79998168889431442"/>
        </left>
        <right style="thin">
          <color theme="4" tint="0.79998168889431442"/>
        </right>
        <top style="thin">
          <color theme="4" tint="0.39997558519241921"/>
        </top>
        <bottom style="thin">
          <color theme="4" tint="0.39997558519241921"/>
        </bottom>
        <vertical/>
        <horizontal/>
      </border>
    </dxf>
    <dxf>
      <fill>
        <patternFill patternType="none">
          <fgColor indexed="64"/>
          <bgColor indexed="65"/>
        </patternFill>
      </fill>
      <border diagonalUp="0" diagonalDown="0">
        <left/>
        <right style="thin">
          <color theme="4" tint="0.79998168889431442"/>
        </right>
        <top style="thin">
          <color theme="4" tint="0.39997558519241921"/>
        </top>
        <bottom style="thin">
          <color theme="4" tint="0.39997558519241921"/>
        </bottom>
        <vertical/>
        <horizontal/>
      </border>
    </dxf>
    <dxf>
      <border outline="0">
        <left style="thin">
          <color theme="4" tint="0.59999389629810485"/>
        </left>
        <right style="thin">
          <color theme="4" tint="0.59999389629810485"/>
        </right>
        <top style="thin">
          <color theme="4" tint="0.59999389629810485"/>
        </top>
        <bottom style="thin">
          <color theme="4" tint="0.59999389629810485"/>
        </bottom>
      </border>
    </dxf>
    <dxf>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bgColor rgb="FFFFFF00"/>
        </patternFill>
      </fill>
    </dxf>
    <dxf>
      <fill>
        <patternFill>
          <bgColor rgb="FFFFFF00"/>
        </patternFill>
      </fill>
    </dxf>
  </dxfs>
  <tableStyles count="0" defaultTableStyle="TableStyleMedium2" defaultPivotStyle="PivotStyleLight16"/>
  <colors>
    <mruColors>
      <color rgb="FF007A4D"/>
      <color rgb="FF00C881"/>
      <color rgb="FF11FFAA"/>
      <color rgb="FF005436"/>
      <color rgb="FF607C3C"/>
      <color rgb="FF809C13"/>
      <color rgb="FF394923"/>
      <color rgb="FFBC00BC"/>
      <color rgb="FFFFFB47"/>
      <color rgb="FFFFF8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GB" sz="1100" b="1"/>
              <a:t>Project Intervention Carbon Cost Breakdown</a:t>
            </a:r>
          </a:p>
        </c:rich>
      </c:tx>
      <c:layout>
        <c:manualLayout>
          <c:xMode val="edge"/>
          <c:yMode val="edge"/>
          <c:x val="0.34189880253337357"/>
          <c:y val="1.825037794089751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Graph!$N$2</c:f>
              <c:strCache>
                <c:ptCount val="1"/>
                <c:pt idx="0">
                  <c:v>Intervention</c:v>
                </c:pt>
              </c:strCache>
            </c:strRef>
          </c:tx>
          <c:spPr>
            <a:solidFill>
              <a:schemeClr val="accent1"/>
            </a:solidFill>
            <a:ln>
              <a:noFill/>
            </a:ln>
            <a:effectLst/>
          </c:spPr>
          <c:invertIfNegative val="0"/>
          <c:dLbls>
            <c:delete val="1"/>
          </c:dLbls>
          <c:cat>
            <c:strRef>
              <c:f>[0]!ID</c:f>
              <c:strCache>
                <c:ptCount val="1"/>
                <c:pt idx="0">
                  <c:v>Stone Dam&lt;1m (1 unit)</c:v>
                </c:pt>
              </c:strCache>
            </c:strRef>
          </c:cat>
          <c:val>
            <c:numRef>
              <c:f>[0]!ID</c:f>
              <c:numCache>
                <c:formatCode>General</c:formatCode>
                <c:ptCount val="1"/>
                <c:pt idx="0">
                  <c:v>0</c:v>
                </c:pt>
              </c:numCache>
            </c:numRef>
          </c:val>
          <c:extLst>
            <c:ext xmlns:c16="http://schemas.microsoft.com/office/drawing/2014/chart" uri="{C3380CC4-5D6E-409C-BE32-E72D297353CC}">
              <c16:uniqueId val="{00000000-A0D4-4BBB-832A-084256DFE6B5}"/>
            </c:ext>
          </c:extLst>
        </c:ser>
        <c:ser>
          <c:idx val="1"/>
          <c:order val="1"/>
          <c:tx>
            <c:strRef>
              <c:f>Graph!$O$2</c:f>
              <c:strCache>
                <c:ptCount val="1"/>
                <c:pt idx="0">
                  <c:v>Raw Material Costs</c:v>
                </c:pt>
              </c:strCache>
            </c:strRef>
          </c:tx>
          <c:spPr>
            <a:solidFill>
              <a:srgbClr val="005436"/>
            </a:solidFill>
            <a:ln>
              <a:noFill/>
            </a:ln>
            <a:effectLst/>
          </c:spPr>
          <c:invertIfNegative val="0"/>
          <c:dLbls>
            <c:delete val="1"/>
          </c:dLbls>
          <c:val>
            <c:numRef>
              <c:f>[0]!RMC</c:f>
              <c:numCache>
                <c:formatCode>General</c:formatCode>
                <c:ptCount val="1"/>
                <c:pt idx="0">
                  <c:v>36.458036440000001</c:v>
                </c:pt>
              </c:numCache>
            </c:numRef>
          </c:val>
          <c:extLst>
            <c:ext xmlns:c16="http://schemas.microsoft.com/office/drawing/2014/chart" uri="{C3380CC4-5D6E-409C-BE32-E72D297353CC}">
              <c16:uniqueId val="{00000001-A0D4-4BBB-832A-084256DFE6B5}"/>
            </c:ext>
          </c:extLst>
        </c:ser>
        <c:ser>
          <c:idx val="2"/>
          <c:order val="2"/>
          <c:tx>
            <c:strRef>
              <c:f>Graph!$P$2</c:f>
              <c:strCache>
                <c:ptCount val="1"/>
                <c:pt idx="0">
                  <c:v>Material Transport Costs</c:v>
                </c:pt>
              </c:strCache>
            </c:strRef>
          </c:tx>
          <c:spPr>
            <a:solidFill>
              <a:srgbClr val="11FFAA"/>
            </a:solidFill>
            <a:ln>
              <a:noFill/>
            </a:ln>
            <a:effectLst/>
          </c:spPr>
          <c:invertIfNegative val="0"/>
          <c:dLbls>
            <c:delete val="1"/>
          </c:dLbls>
          <c:val>
            <c:numRef>
              <c:f>[0]!MTC</c:f>
              <c:numCache>
                <c:formatCode>General</c:formatCode>
                <c:ptCount val="1"/>
                <c:pt idx="0">
                  <c:v>0.6910695</c:v>
                </c:pt>
              </c:numCache>
            </c:numRef>
          </c:val>
          <c:extLst>
            <c:ext xmlns:c16="http://schemas.microsoft.com/office/drawing/2014/chart" uri="{C3380CC4-5D6E-409C-BE32-E72D297353CC}">
              <c16:uniqueId val="{00000002-A0D4-4BBB-832A-084256DFE6B5}"/>
            </c:ext>
          </c:extLst>
        </c:ser>
        <c:ser>
          <c:idx val="3"/>
          <c:order val="3"/>
          <c:tx>
            <c:strRef>
              <c:f>Graph!$Q$2</c:f>
              <c:strCache>
                <c:ptCount val="1"/>
                <c:pt idx="0">
                  <c:v>Install Costs</c:v>
                </c:pt>
              </c:strCache>
            </c:strRef>
          </c:tx>
          <c:spPr>
            <a:solidFill>
              <a:srgbClr val="00C881"/>
            </a:solidFill>
            <a:ln>
              <a:noFill/>
            </a:ln>
            <a:effectLst/>
          </c:spPr>
          <c:invertIfNegative val="0"/>
          <c:dLbls>
            <c:delete val="1"/>
          </c:dLbls>
          <c:val>
            <c:numRef>
              <c:f>[0]!IC</c:f>
              <c:numCache>
                <c:formatCode>General</c:formatCode>
                <c:ptCount val="1"/>
                <c:pt idx="0">
                  <c:v>29.836800000000004</c:v>
                </c:pt>
              </c:numCache>
            </c:numRef>
          </c:val>
          <c:extLst>
            <c:ext xmlns:c16="http://schemas.microsoft.com/office/drawing/2014/chart" uri="{C3380CC4-5D6E-409C-BE32-E72D297353CC}">
              <c16:uniqueId val="{00000003-A0D4-4BBB-832A-084256DFE6B5}"/>
            </c:ext>
          </c:extLst>
        </c:ser>
        <c:ser>
          <c:idx val="4"/>
          <c:order val="4"/>
          <c:tx>
            <c:strRef>
              <c:f>Graph!$U$2</c:f>
              <c:strCache>
                <c:ptCount val="1"/>
                <c:pt idx="0">
                  <c:v>Filtered</c:v>
                </c:pt>
              </c:strCache>
            </c:strRef>
          </c:tx>
          <c:spPr>
            <a:solidFill>
              <a:schemeClr val="accent5"/>
            </a:solidFill>
            <a:ln>
              <a:noFill/>
            </a:ln>
            <a:effectLst/>
          </c:spPr>
          <c:invertIfNegative val="0"/>
          <c:dLbls>
            <c:dLbl>
              <c:idx val="0"/>
              <c:tx>
                <c:rich>
                  <a:bodyPr/>
                  <a:lstStyle/>
                  <a:p>
                    <a:fld id="{D64FF81A-0AC7-4B44-A5BF-AD5AA7D75F47}"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0D4-4BBB-832A-084256DFE6B5}"/>
                </c:ext>
              </c:extLst>
            </c:dLbl>
            <c:dLbl>
              <c:idx val="11"/>
              <c:tx>
                <c:rich>
                  <a:bodyPr/>
                  <a:lstStyle/>
                  <a:p>
                    <a:fld id="{415926CA-EA59-4091-9453-A2585779A8A0}"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0D4-4BBB-832A-084256DFE6B5}"/>
                </c:ext>
              </c:extLst>
            </c:dLbl>
            <c:dLbl>
              <c:idx val="12"/>
              <c:tx>
                <c:rich>
                  <a:bodyPr/>
                  <a:lstStyle/>
                  <a:p>
                    <a:fld id="{2E2A68BA-9D71-43B7-BEAA-EDA1D4077602}"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0D4-4BBB-832A-084256DFE6B5}"/>
                </c:ext>
              </c:extLst>
            </c:dLbl>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[0]!IL</c:f>
              <c:numCache>
                <c:formatCode>General</c:formatCode>
                <c:ptCount val="1"/>
                <c:pt idx="0">
                  <c:v>0</c:v>
                </c:pt>
              </c:numCache>
            </c:numRef>
          </c:val>
          <c:extLst>
            <c:ext xmlns:c15="http://schemas.microsoft.com/office/drawing/2012/chart" uri="{02D57815-91ED-43cb-92C2-25804820EDAC}">
              <c15:datalabelsRange>
                <c15:f>Graph!$S$3:$S$32</c15:f>
                <c15:dlblRangeCache>
                  <c:ptCount val="30"/>
                  <c:pt idx="0">
                    <c:v>66.99</c:v>
                  </c:pt>
                </c15:dlblRangeCache>
              </c15:datalabelsRange>
            </c:ext>
            <c:ext xmlns:c16="http://schemas.microsoft.com/office/drawing/2014/chart" uri="{C3380CC4-5D6E-409C-BE32-E72D297353CC}">
              <c16:uniqueId val="{00000009-A0D4-4BBB-832A-084256DFE6B5}"/>
            </c:ext>
          </c:extLst>
        </c:ser>
        <c:dLbls>
          <c:dLblPos val="ctr"/>
          <c:showLegendKey val="0"/>
          <c:showVal val="1"/>
          <c:showCatName val="0"/>
          <c:showSerName val="0"/>
          <c:showPercent val="0"/>
          <c:showBubbleSize val="0"/>
        </c:dLbls>
        <c:gapWidth val="150"/>
        <c:overlap val="100"/>
        <c:axId val="316081504"/>
        <c:axId val="316081984"/>
      </c:barChart>
      <c:catAx>
        <c:axId val="31608150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6081984"/>
        <c:crosses val="autoZero"/>
        <c:auto val="1"/>
        <c:lblAlgn val="ctr"/>
        <c:lblOffset val="100"/>
        <c:noMultiLvlLbl val="0"/>
      </c:catAx>
      <c:valAx>
        <c:axId val="3160819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GB" b="1"/>
                  <a:t>tCO2e</a:t>
                </a:r>
              </a:p>
            </c:rich>
          </c:tx>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6081504"/>
        <c:crosses val="autoZero"/>
        <c:crossBetween val="between"/>
      </c:valAx>
      <c:spPr>
        <a:noFill/>
        <a:ln>
          <a:solidFill>
            <a:sysClr val="windowText" lastClr="000000"/>
          </a:solidFill>
        </a:ln>
        <a:effectLst/>
      </c:spPr>
    </c:plotArea>
    <c:legend>
      <c:legendPos val="b"/>
      <c:legendEntry>
        <c:idx val="0"/>
        <c:delete val="1"/>
      </c:legendEntry>
      <c:legendEntry>
        <c:idx val="4"/>
        <c:delete val="1"/>
      </c:legendEntry>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GB" sz="1800" b="1">
                <a:solidFill>
                  <a:sysClr val="windowText" lastClr="000000"/>
                </a:solidFill>
              </a:rPr>
              <a:t>Project</a:t>
            </a:r>
            <a:r>
              <a:rPr lang="en-GB" sz="1800" b="1" baseline="0">
                <a:solidFill>
                  <a:sysClr val="windowText" lastClr="000000"/>
                </a:solidFill>
              </a:rPr>
              <a:t> Carbon Cost Breakdown</a:t>
            </a:r>
            <a:endParaRPr lang="en-GB"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GB"/>
        </a:p>
      </c:txPr>
    </c:title>
    <c:autoTitleDeleted val="0"/>
    <c:plotArea>
      <c:layout/>
      <c:barChart>
        <c:barDir val="col"/>
        <c:grouping val="stacked"/>
        <c:varyColors val="0"/>
        <c:ser>
          <c:idx val="0"/>
          <c:order val="0"/>
          <c:tx>
            <c:strRef>
              <c:f>Graph!$B$3</c:f>
              <c:strCache>
                <c:ptCount val="1"/>
                <c:pt idx="0">
                  <c:v>Stone Dam&lt;1m (1 unit)</c:v>
                </c:pt>
              </c:strCache>
            </c:strRef>
          </c:tx>
          <c:spPr>
            <a:solidFill>
              <a:schemeClr val="accent1"/>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strRef>
          </c:cat>
          <c:val>
            <c:numRef>
              <c:f>Graph!$C$3:$F$3</c:f>
              <c:numCache>
                <c:formatCode>0.00</c:formatCode>
                <c:ptCount val="4"/>
                <c:pt idx="0">
                  <c:v>36.458036440000001</c:v>
                </c:pt>
                <c:pt idx="1">
                  <c:v>0.6910695</c:v>
                </c:pt>
                <c:pt idx="2">
                  <c:v>29.836800000000004</c:v>
                </c:pt>
                <c:pt idx="3">
                  <c:v>0</c:v>
                </c:pt>
              </c:numCache>
            </c:numRef>
          </c:val>
          <c:extLst>
            <c:ext xmlns:c16="http://schemas.microsoft.com/office/drawing/2014/chart" uri="{C3380CC4-5D6E-409C-BE32-E72D297353CC}">
              <c16:uniqueId val="{00000000-97FE-41A9-BBEE-BE6DBF99244E}"/>
            </c:ext>
          </c:extLst>
        </c:ser>
        <c:ser>
          <c:idx val="1"/>
          <c:order val="1"/>
          <c:tx>
            <c:strRef>
              <c:f>Graph!$B$4</c:f>
              <c:strCache>
                <c:ptCount val="1"/>
              </c:strCache>
            </c:strRef>
          </c:tx>
          <c:spPr>
            <a:solidFill>
              <a:schemeClr val="accent2"/>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strRef>
          </c:cat>
          <c:val>
            <c:numRef>
              <c:f>Graph!$C$4:$F$4</c:f>
              <c:numCache>
                <c:formatCode>0.00</c:formatCode>
                <c:ptCount val="4"/>
                <c:pt idx="0">
                  <c:v>0</c:v>
                </c:pt>
                <c:pt idx="1">
                  <c:v>0</c:v>
                </c:pt>
                <c:pt idx="2">
                  <c:v>0</c:v>
                </c:pt>
              </c:numCache>
            </c:numRef>
          </c:val>
          <c:extLst>
            <c:ext xmlns:c16="http://schemas.microsoft.com/office/drawing/2014/chart" uri="{C3380CC4-5D6E-409C-BE32-E72D297353CC}">
              <c16:uniqueId val="{00000001-97FE-41A9-BBEE-BE6DBF99244E}"/>
            </c:ext>
          </c:extLst>
        </c:ser>
        <c:ser>
          <c:idx val="2"/>
          <c:order val="2"/>
          <c:tx>
            <c:strRef>
              <c:f>Graph!$B$5</c:f>
              <c:strCache>
                <c:ptCount val="1"/>
              </c:strCache>
            </c:strRef>
          </c:tx>
          <c:spPr>
            <a:solidFill>
              <a:schemeClr val="accent3"/>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strRef>
          </c:cat>
          <c:val>
            <c:numRef>
              <c:f>Graph!$C$5:$F$5</c:f>
              <c:numCache>
                <c:formatCode>0.00</c:formatCode>
                <c:ptCount val="4"/>
                <c:pt idx="0">
                  <c:v>0</c:v>
                </c:pt>
                <c:pt idx="1">
                  <c:v>0</c:v>
                </c:pt>
                <c:pt idx="2">
                  <c:v>0</c:v>
                </c:pt>
              </c:numCache>
            </c:numRef>
          </c:val>
          <c:extLst>
            <c:ext xmlns:c16="http://schemas.microsoft.com/office/drawing/2014/chart" uri="{C3380CC4-5D6E-409C-BE32-E72D297353CC}">
              <c16:uniqueId val="{00000002-97FE-41A9-BBEE-BE6DBF99244E}"/>
            </c:ext>
          </c:extLst>
        </c:ser>
        <c:ser>
          <c:idx val="3"/>
          <c:order val="3"/>
          <c:tx>
            <c:strRef>
              <c:f>Graph!$B$6</c:f>
              <c:strCache>
                <c:ptCount val="1"/>
              </c:strCache>
              <c:extLst xmlns:c15="http://schemas.microsoft.com/office/drawing/2012/chart"/>
            </c:strRef>
          </c:tx>
          <c:spPr>
            <a:solidFill>
              <a:schemeClr val="accent4"/>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extLst xmlns:c15="http://schemas.microsoft.com/office/drawing/2012/chart"/>
            </c:strRef>
          </c:cat>
          <c:val>
            <c:numRef>
              <c:f>Graph!$C$6:$F$6</c:f>
              <c:numCache>
                <c:formatCode>0.00</c:formatCode>
                <c:ptCount val="4"/>
                <c:pt idx="0">
                  <c:v>0</c:v>
                </c:pt>
                <c:pt idx="1">
                  <c:v>0</c:v>
                </c:pt>
                <c:pt idx="2">
                  <c:v>0</c:v>
                </c:pt>
              </c:numCache>
              <c:extLst xmlns:c15="http://schemas.microsoft.com/office/drawing/2012/chart"/>
            </c:numRef>
          </c:val>
          <c:extLst>
            <c:ext xmlns:c16="http://schemas.microsoft.com/office/drawing/2014/chart" uri="{C3380CC4-5D6E-409C-BE32-E72D297353CC}">
              <c16:uniqueId val="{00000003-97FE-41A9-BBEE-BE6DBF99244E}"/>
            </c:ext>
          </c:extLst>
        </c:ser>
        <c:ser>
          <c:idx val="4"/>
          <c:order val="4"/>
          <c:tx>
            <c:strRef>
              <c:f>Graph!$B$9</c:f>
              <c:strCache>
                <c:ptCount val="1"/>
              </c:strCache>
              <c:extLst xmlns:c15="http://schemas.microsoft.com/office/drawing/2012/chart"/>
            </c:strRef>
          </c:tx>
          <c:spPr>
            <a:solidFill>
              <a:schemeClr val="accent5"/>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extLst xmlns:c15="http://schemas.microsoft.com/office/drawing/2012/chart"/>
            </c:strRef>
          </c:cat>
          <c:val>
            <c:numRef>
              <c:f>Graph!$C$9:$F$9</c:f>
              <c:numCache>
                <c:formatCode>0.00</c:formatCode>
                <c:ptCount val="4"/>
                <c:pt idx="0">
                  <c:v>0</c:v>
                </c:pt>
                <c:pt idx="1">
                  <c:v>0</c:v>
                </c:pt>
                <c:pt idx="2">
                  <c:v>0</c:v>
                </c:pt>
              </c:numCache>
              <c:extLst xmlns:c15="http://schemas.microsoft.com/office/drawing/2012/chart"/>
            </c:numRef>
          </c:val>
          <c:extLst>
            <c:ext xmlns:c16="http://schemas.microsoft.com/office/drawing/2014/chart" uri="{C3380CC4-5D6E-409C-BE32-E72D297353CC}">
              <c16:uniqueId val="{00000004-97FE-41A9-BBEE-BE6DBF99244E}"/>
            </c:ext>
          </c:extLst>
        </c:ser>
        <c:ser>
          <c:idx val="5"/>
          <c:order val="5"/>
          <c:tx>
            <c:strRef>
              <c:f>Graph!$B$13</c:f>
              <c:strCache>
                <c:ptCount val="1"/>
              </c:strCache>
            </c:strRef>
          </c:tx>
          <c:spPr>
            <a:solidFill>
              <a:schemeClr val="accent6"/>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strRef>
          </c:cat>
          <c:val>
            <c:numRef>
              <c:f>Graph!$C$13:$F$13</c:f>
              <c:numCache>
                <c:formatCode>0.00</c:formatCode>
                <c:ptCount val="4"/>
                <c:pt idx="0">
                  <c:v>0</c:v>
                </c:pt>
                <c:pt idx="1">
                  <c:v>0</c:v>
                </c:pt>
                <c:pt idx="2">
                  <c:v>0</c:v>
                </c:pt>
              </c:numCache>
            </c:numRef>
          </c:val>
          <c:extLst>
            <c:ext xmlns:c16="http://schemas.microsoft.com/office/drawing/2014/chart" uri="{C3380CC4-5D6E-409C-BE32-E72D297353CC}">
              <c16:uniqueId val="{00000005-97FE-41A9-BBEE-BE6DBF99244E}"/>
            </c:ext>
          </c:extLst>
        </c:ser>
        <c:ser>
          <c:idx val="6"/>
          <c:order val="6"/>
          <c:tx>
            <c:strRef>
              <c:f>Graph!$B$15</c:f>
              <c:strCache>
                <c:ptCount val="1"/>
              </c:strCache>
              <c:extLst xmlns:c15="http://schemas.microsoft.com/office/drawing/2012/chart"/>
            </c:strRef>
          </c:tx>
          <c:spPr>
            <a:solidFill>
              <a:schemeClr val="accent1">
                <a:lumMod val="60000"/>
              </a:schemeClr>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extLst xmlns:c15="http://schemas.microsoft.com/office/drawing/2012/chart"/>
            </c:strRef>
          </c:cat>
          <c:val>
            <c:numRef>
              <c:f>Graph!$C$15:$F$15</c:f>
              <c:numCache>
                <c:formatCode>0.00</c:formatCode>
                <c:ptCount val="4"/>
                <c:pt idx="0">
                  <c:v>0</c:v>
                </c:pt>
                <c:pt idx="1">
                  <c:v>0</c:v>
                </c:pt>
                <c:pt idx="2">
                  <c:v>0</c:v>
                </c:pt>
              </c:numCache>
              <c:extLst xmlns:c15="http://schemas.microsoft.com/office/drawing/2012/chart"/>
            </c:numRef>
          </c:val>
          <c:extLst>
            <c:ext xmlns:c16="http://schemas.microsoft.com/office/drawing/2014/chart" uri="{C3380CC4-5D6E-409C-BE32-E72D297353CC}">
              <c16:uniqueId val="{00000006-97FE-41A9-BBEE-BE6DBF99244E}"/>
            </c:ext>
          </c:extLst>
        </c:ser>
        <c:ser>
          <c:idx val="7"/>
          <c:order val="7"/>
          <c:tx>
            <c:strRef>
              <c:f>Graph!$B$17</c:f>
              <c:strCache>
                <c:ptCount val="1"/>
              </c:strCache>
              <c:extLst xmlns:c15="http://schemas.microsoft.com/office/drawing/2012/chart"/>
            </c:strRef>
          </c:tx>
          <c:spPr>
            <a:solidFill>
              <a:schemeClr val="accent2">
                <a:lumMod val="60000"/>
              </a:schemeClr>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extLst xmlns:c15="http://schemas.microsoft.com/office/drawing/2012/chart"/>
            </c:strRef>
          </c:cat>
          <c:val>
            <c:numRef>
              <c:f>Graph!$C$17:$F$17</c:f>
              <c:numCache>
                <c:formatCode>0.00</c:formatCode>
                <c:ptCount val="4"/>
                <c:pt idx="0">
                  <c:v>0</c:v>
                </c:pt>
                <c:pt idx="1">
                  <c:v>0</c:v>
                </c:pt>
                <c:pt idx="2">
                  <c:v>0</c:v>
                </c:pt>
              </c:numCache>
              <c:extLst xmlns:c15="http://schemas.microsoft.com/office/drawing/2012/chart"/>
            </c:numRef>
          </c:val>
          <c:extLst>
            <c:ext xmlns:c16="http://schemas.microsoft.com/office/drawing/2014/chart" uri="{C3380CC4-5D6E-409C-BE32-E72D297353CC}">
              <c16:uniqueId val="{00000007-97FE-41A9-BBEE-BE6DBF99244E}"/>
            </c:ext>
          </c:extLst>
        </c:ser>
        <c:ser>
          <c:idx val="8"/>
          <c:order val="8"/>
          <c:tx>
            <c:strRef>
              <c:f>Graph!$B$18</c:f>
              <c:strCache>
                <c:ptCount val="1"/>
              </c:strCache>
              <c:extLst xmlns:c15="http://schemas.microsoft.com/office/drawing/2012/chart"/>
            </c:strRef>
          </c:tx>
          <c:spPr>
            <a:solidFill>
              <a:schemeClr val="accent3">
                <a:lumMod val="60000"/>
              </a:schemeClr>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extLst xmlns:c15="http://schemas.microsoft.com/office/drawing/2012/chart"/>
            </c:strRef>
          </c:cat>
          <c:val>
            <c:numRef>
              <c:f>Graph!$C$18:$F$18</c:f>
              <c:numCache>
                <c:formatCode>0.00</c:formatCode>
                <c:ptCount val="4"/>
                <c:pt idx="0">
                  <c:v>0</c:v>
                </c:pt>
                <c:pt idx="1">
                  <c:v>0</c:v>
                </c:pt>
                <c:pt idx="2">
                  <c:v>0</c:v>
                </c:pt>
              </c:numCache>
              <c:extLst xmlns:c15="http://schemas.microsoft.com/office/drawing/2012/chart"/>
            </c:numRef>
          </c:val>
          <c:extLst>
            <c:ext xmlns:c16="http://schemas.microsoft.com/office/drawing/2014/chart" uri="{C3380CC4-5D6E-409C-BE32-E72D297353CC}">
              <c16:uniqueId val="{00000008-97FE-41A9-BBEE-BE6DBF99244E}"/>
            </c:ext>
          </c:extLst>
        </c:ser>
        <c:ser>
          <c:idx val="9"/>
          <c:order val="9"/>
          <c:tx>
            <c:strRef>
              <c:f>Graph!$B$22</c:f>
              <c:strCache>
                <c:ptCount val="1"/>
              </c:strCache>
              <c:extLst xmlns:c15="http://schemas.microsoft.com/office/drawing/2012/chart"/>
            </c:strRef>
          </c:tx>
          <c:spPr>
            <a:solidFill>
              <a:schemeClr val="accent4">
                <a:lumMod val="60000"/>
              </a:schemeClr>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extLst xmlns:c15="http://schemas.microsoft.com/office/drawing/2012/chart"/>
            </c:strRef>
          </c:cat>
          <c:val>
            <c:numRef>
              <c:f>Graph!$C$22:$F$22</c:f>
              <c:numCache>
                <c:formatCode>0.00</c:formatCode>
                <c:ptCount val="4"/>
                <c:pt idx="0">
                  <c:v>0</c:v>
                </c:pt>
                <c:pt idx="1">
                  <c:v>0</c:v>
                </c:pt>
                <c:pt idx="2">
                  <c:v>0</c:v>
                </c:pt>
              </c:numCache>
              <c:extLst xmlns:c15="http://schemas.microsoft.com/office/drawing/2012/chart"/>
            </c:numRef>
          </c:val>
          <c:extLst>
            <c:ext xmlns:c16="http://schemas.microsoft.com/office/drawing/2014/chart" uri="{C3380CC4-5D6E-409C-BE32-E72D297353CC}">
              <c16:uniqueId val="{00000009-97FE-41A9-BBEE-BE6DBF99244E}"/>
            </c:ext>
          </c:extLst>
        </c:ser>
        <c:ser>
          <c:idx val="10"/>
          <c:order val="10"/>
          <c:tx>
            <c:strRef>
              <c:f>Graph!$B$23</c:f>
              <c:strCache>
                <c:ptCount val="1"/>
              </c:strCache>
            </c:strRef>
          </c:tx>
          <c:spPr>
            <a:solidFill>
              <a:schemeClr val="accent5">
                <a:lumMod val="60000"/>
              </a:schemeClr>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strRef>
          </c:cat>
          <c:val>
            <c:numRef>
              <c:f>Graph!$C$23:$F$23</c:f>
              <c:numCache>
                <c:formatCode>0.00</c:formatCode>
                <c:ptCount val="4"/>
                <c:pt idx="0">
                  <c:v>0</c:v>
                </c:pt>
                <c:pt idx="1">
                  <c:v>0</c:v>
                </c:pt>
                <c:pt idx="2">
                  <c:v>0</c:v>
                </c:pt>
              </c:numCache>
            </c:numRef>
          </c:val>
          <c:extLst>
            <c:ext xmlns:c16="http://schemas.microsoft.com/office/drawing/2014/chart" uri="{C3380CC4-5D6E-409C-BE32-E72D297353CC}">
              <c16:uniqueId val="{0000000A-97FE-41A9-BBEE-BE6DBF99244E}"/>
            </c:ext>
          </c:extLst>
        </c:ser>
        <c:ser>
          <c:idx val="11"/>
          <c:order val="11"/>
          <c:tx>
            <c:strRef>
              <c:f>Graph!$B$29</c:f>
              <c:strCache>
                <c:ptCount val="1"/>
              </c:strCache>
            </c:strRef>
          </c:tx>
          <c:spPr>
            <a:solidFill>
              <a:schemeClr val="accent6">
                <a:lumMod val="60000"/>
              </a:schemeClr>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strRef>
          </c:cat>
          <c:val>
            <c:numRef>
              <c:f>Graph!$C$29:$F$29</c:f>
              <c:numCache>
                <c:formatCode>0.00</c:formatCode>
                <c:ptCount val="4"/>
                <c:pt idx="0">
                  <c:v>0</c:v>
                </c:pt>
                <c:pt idx="1">
                  <c:v>0</c:v>
                </c:pt>
                <c:pt idx="2">
                  <c:v>0</c:v>
                </c:pt>
              </c:numCache>
            </c:numRef>
          </c:val>
          <c:extLst>
            <c:ext xmlns:c16="http://schemas.microsoft.com/office/drawing/2014/chart" uri="{C3380CC4-5D6E-409C-BE32-E72D297353CC}">
              <c16:uniqueId val="{0000000B-97FE-41A9-BBEE-BE6DBF99244E}"/>
            </c:ext>
          </c:extLst>
        </c:ser>
        <c:ser>
          <c:idx val="12"/>
          <c:order val="12"/>
          <c:tx>
            <c:strRef>
              <c:f>Graph!$B$30</c:f>
              <c:strCache>
                <c:ptCount val="1"/>
              </c:strCache>
            </c:strRef>
          </c:tx>
          <c:spPr>
            <a:solidFill>
              <a:schemeClr val="accent1">
                <a:lumMod val="80000"/>
                <a:lumOff val="20000"/>
              </a:schemeClr>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strRef>
          </c:cat>
          <c:val>
            <c:numRef>
              <c:f>Graph!$C$30:$F$30</c:f>
              <c:numCache>
                <c:formatCode>0.00</c:formatCode>
                <c:ptCount val="4"/>
                <c:pt idx="0">
                  <c:v>0</c:v>
                </c:pt>
                <c:pt idx="1">
                  <c:v>0</c:v>
                </c:pt>
                <c:pt idx="2">
                  <c:v>0</c:v>
                </c:pt>
              </c:numCache>
            </c:numRef>
          </c:val>
          <c:extLst>
            <c:ext xmlns:c16="http://schemas.microsoft.com/office/drawing/2014/chart" uri="{C3380CC4-5D6E-409C-BE32-E72D297353CC}">
              <c16:uniqueId val="{0000000C-97FE-41A9-BBEE-BE6DBF99244E}"/>
            </c:ext>
          </c:extLst>
        </c:ser>
        <c:ser>
          <c:idx val="13"/>
          <c:order val="13"/>
          <c:tx>
            <c:strRef>
              <c:f>Graph!$B$31</c:f>
              <c:strCache>
                <c:ptCount val="1"/>
              </c:strCache>
            </c:strRef>
          </c:tx>
          <c:spPr>
            <a:solidFill>
              <a:schemeClr val="accent2">
                <a:lumMod val="80000"/>
                <a:lumOff val="20000"/>
              </a:schemeClr>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strRef>
          </c:cat>
          <c:val>
            <c:numRef>
              <c:f>Graph!$C$31:$F$31</c:f>
              <c:numCache>
                <c:formatCode>0.00</c:formatCode>
                <c:ptCount val="4"/>
                <c:pt idx="0">
                  <c:v>0</c:v>
                </c:pt>
                <c:pt idx="1">
                  <c:v>0</c:v>
                </c:pt>
                <c:pt idx="2">
                  <c:v>0</c:v>
                </c:pt>
              </c:numCache>
            </c:numRef>
          </c:val>
          <c:extLst>
            <c:ext xmlns:c16="http://schemas.microsoft.com/office/drawing/2014/chart" uri="{C3380CC4-5D6E-409C-BE32-E72D297353CC}">
              <c16:uniqueId val="{0000000D-97FE-41A9-BBEE-BE6DBF99244E}"/>
            </c:ext>
          </c:extLst>
        </c:ser>
        <c:ser>
          <c:idx val="14"/>
          <c:order val="14"/>
          <c:tx>
            <c:strRef>
              <c:f>Graph!$B$32</c:f>
              <c:strCache>
                <c:ptCount val="1"/>
              </c:strCache>
              <c:extLst xmlns:c15="http://schemas.microsoft.com/office/drawing/2012/chart"/>
            </c:strRef>
          </c:tx>
          <c:spPr>
            <a:solidFill>
              <a:schemeClr val="accent3">
                <a:lumMod val="80000"/>
                <a:lumOff val="20000"/>
              </a:schemeClr>
            </a:solidFill>
            <a:ln>
              <a:noFill/>
            </a:ln>
            <a:effectLst/>
          </c:spPr>
          <c:invertIfNegative val="0"/>
          <c:dLbls>
            <c:delete val="1"/>
          </c:dLbls>
          <c:cat>
            <c:strRef>
              <c:f>Graph!$C$2:$F$2</c:f>
              <c:strCache>
                <c:ptCount val="4"/>
                <c:pt idx="0">
                  <c:v>Raw Material Costs</c:v>
                </c:pt>
                <c:pt idx="1">
                  <c:v>Material Transport Costs</c:v>
                </c:pt>
                <c:pt idx="2">
                  <c:v>Install Costs</c:v>
                </c:pt>
                <c:pt idx="3">
                  <c:v>Project Transport Costs</c:v>
                </c:pt>
              </c:strCache>
              <c:extLst xmlns:c15="http://schemas.microsoft.com/office/drawing/2012/chart"/>
            </c:strRef>
          </c:cat>
          <c:val>
            <c:numRef>
              <c:f>Graph!$C$32:$F$32</c:f>
              <c:numCache>
                <c:formatCode>0.00</c:formatCode>
                <c:ptCount val="4"/>
                <c:pt idx="0">
                  <c:v>0</c:v>
                </c:pt>
                <c:pt idx="1">
                  <c:v>0</c:v>
                </c:pt>
                <c:pt idx="2">
                  <c:v>0</c:v>
                </c:pt>
              </c:numCache>
              <c:extLst xmlns:c15="http://schemas.microsoft.com/office/drawing/2012/chart"/>
            </c:numRef>
          </c:val>
          <c:extLst>
            <c:ext xmlns:c16="http://schemas.microsoft.com/office/drawing/2014/chart" uri="{C3380CC4-5D6E-409C-BE32-E72D297353CC}">
              <c16:uniqueId val="{0000000E-97FE-41A9-BBEE-BE6DBF99244E}"/>
            </c:ext>
          </c:extLst>
        </c:ser>
        <c:ser>
          <c:idx val="15"/>
          <c:order val="15"/>
          <c:tx>
            <c:strRef>
              <c:f>Graph!$B$34</c:f>
              <c:strCache>
                <c:ptCount val="1"/>
                <c:pt idx="0">
                  <c:v>Label</c:v>
                </c:pt>
              </c:strCache>
            </c:strRef>
          </c:tx>
          <c:spPr>
            <a:solidFill>
              <a:schemeClr val="accent4">
                <a:lumMod val="80000"/>
                <a:lumOff val="20000"/>
              </a:schemeClr>
            </a:solidFill>
            <a:ln>
              <a:noFill/>
            </a:ln>
            <a:effectLst/>
          </c:spPr>
          <c:invertIfNegative val="0"/>
          <c:dLbls>
            <c:dLbl>
              <c:idx val="0"/>
              <c:tx>
                <c:rich>
                  <a:bodyPr/>
                  <a:lstStyle/>
                  <a:p>
                    <a:fld id="{B121D79D-50AC-4DC6-A10D-B9AD9FF5BC70}"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7FE-41A9-BBEE-BE6DBF99244E}"/>
                </c:ext>
              </c:extLst>
            </c:dLbl>
            <c:dLbl>
              <c:idx val="1"/>
              <c:tx>
                <c:rich>
                  <a:bodyPr/>
                  <a:lstStyle/>
                  <a:p>
                    <a:fld id="{95563D15-8813-4E31-9C44-4B21B57ADDF6}"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7FE-41A9-BBEE-BE6DBF99244E}"/>
                </c:ext>
              </c:extLst>
            </c:dLbl>
            <c:dLbl>
              <c:idx val="2"/>
              <c:tx>
                <c:rich>
                  <a:bodyPr/>
                  <a:lstStyle/>
                  <a:p>
                    <a:fld id="{496EC65B-0BC8-4173-A3E5-1D7D8B9F0628}"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7FE-41A9-BBEE-BE6DBF99244E}"/>
                </c:ext>
              </c:extLst>
            </c:dLbl>
            <c:dLbl>
              <c:idx val="3"/>
              <c:tx>
                <c:rich>
                  <a:bodyPr/>
                  <a:lstStyle/>
                  <a:p>
                    <a:fld id="{633F41B8-8B51-4C44-A215-7FEC482D7C30}"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7FE-41A9-BBEE-BE6DBF99244E}"/>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Graph!$C$34:$F$34</c:f>
              <c:numCache>
                <c:formatCode>0.00</c:formatCode>
                <c:ptCount val="4"/>
                <c:pt idx="0">
                  <c:v>0</c:v>
                </c:pt>
                <c:pt idx="1">
                  <c:v>0</c:v>
                </c:pt>
                <c:pt idx="2">
                  <c:v>0</c:v>
                </c:pt>
                <c:pt idx="3">
                  <c:v>0</c:v>
                </c:pt>
              </c:numCache>
            </c:numRef>
          </c:val>
          <c:extLst>
            <c:ext xmlns:c15="http://schemas.microsoft.com/office/drawing/2012/chart" uri="{02D57815-91ED-43cb-92C2-25804820EDAC}">
              <c15:datalabelsRange>
                <c15:f>Graph!$C$33:$F$33</c15:f>
                <c15:dlblRangeCache>
                  <c:ptCount val="4"/>
                  <c:pt idx="0">
                    <c:v>36.46</c:v>
                  </c:pt>
                  <c:pt idx="1">
                    <c:v>0.69</c:v>
                  </c:pt>
                  <c:pt idx="2">
                    <c:v>29.84</c:v>
                  </c:pt>
                  <c:pt idx="3">
                    <c:v>0.00</c:v>
                  </c:pt>
                </c15:dlblRangeCache>
              </c15:datalabelsRange>
            </c:ext>
            <c:ext xmlns:c16="http://schemas.microsoft.com/office/drawing/2014/chart" uri="{C3380CC4-5D6E-409C-BE32-E72D297353CC}">
              <c16:uniqueId val="{00000013-97FE-41A9-BBEE-BE6DBF99244E}"/>
            </c:ext>
          </c:extLst>
        </c:ser>
        <c:dLbls>
          <c:dLblPos val="ctr"/>
          <c:showLegendKey val="0"/>
          <c:showVal val="1"/>
          <c:showCatName val="0"/>
          <c:showSerName val="0"/>
          <c:showPercent val="0"/>
          <c:showBubbleSize val="0"/>
        </c:dLbls>
        <c:gapWidth val="150"/>
        <c:overlap val="100"/>
        <c:axId val="788934368"/>
        <c:axId val="788935448"/>
        <c:extLst/>
      </c:barChart>
      <c:catAx>
        <c:axId val="78893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8935448"/>
        <c:crosses val="autoZero"/>
        <c:auto val="1"/>
        <c:lblAlgn val="ctr"/>
        <c:lblOffset val="100"/>
        <c:noMultiLvlLbl val="0"/>
      </c:catAx>
      <c:valAx>
        <c:axId val="7889354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GB" sz="1800">
                    <a:solidFill>
                      <a:sysClr val="windowText" lastClr="000000"/>
                    </a:solidFill>
                  </a:rPr>
                  <a:t>tCO2eq</a:t>
                </a:r>
              </a:p>
            </c:rich>
          </c:tx>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8934368"/>
        <c:crosses val="autoZero"/>
        <c:crossBetween val="between"/>
      </c:valAx>
      <c:spPr>
        <a:noFill/>
        <a:ln>
          <a:noFill/>
        </a:ln>
        <a:effectLst/>
      </c:spPr>
    </c:plotArea>
    <c:legend>
      <c:legendPos val="b"/>
      <c:legendEntry>
        <c:idx val="15"/>
        <c:delete val="1"/>
      </c:legendEntry>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9</xdr:col>
      <xdr:colOff>574107</xdr:colOff>
      <xdr:row>3</xdr:row>
      <xdr:rowOff>1162815</xdr:rowOff>
    </xdr:to>
    <xdr:pic>
      <xdr:nvPicPr>
        <xdr:cNvPr id="2" name="Picture 1">
          <a:extLst>
            <a:ext uri="{FF2B5EF4-FFF2-40B4-BE49-F238E27FC236}">
              <a16:creationId xmlns:a16="http://schemas.microsoft.com/office/drawing/2014/main" id="{4F76E8C4-AFBD-4076-863B-37434571F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6824" y="392206"/>
          <a:ext cx="3599695" cy="1353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145676</xdr:colOff>
      <xdr:row>1</xdr:row>
      <xdr:rowOff>28763</xdr:rowOff>
    </xdr:from>
    <xdr:to>
      <xdr:col>10</xdr:col>
      <xdr:colOff>117841</xdr:colOff>
      <xdr:row>5</xdr:row>
      <xdr:rowOff>79021</xdr:rowOff>
    </xdr:to>
    <xdr:pic>
      <xdr:nvPicPr>
        <xdr:cNvPr id="3" name="Picture 2">
          <a:extLst>
            <a:ext uri="{FF2B5EF4-FFF2-40B4-BE49-F238E27FC236}">
              <a16:creationId xmlns:a16="http://schemas.microsoft.com/office/drawing/2014/main" id="{10E40D7C-9148-F814-C233-7DD0E07C9C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8323" y="260351"/>
          <a:ext cx="3647694" cy="1365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307777</xdr:colOff>
      <xdr:row>8</xdr:row>
      <xdr:rowOff>157833</xdr:rowOff>
    </xdr:from>
    <xdr:to>
      <xdr:col>6</xdr:col>
      <xdr:colOff>85912</xdr:colOff>
      <xdr:row>12</xdr:row>
      <xdr:rowOff>177052</xdr:rowOff>
    </xdr:to>
    <xdr:pic>
      <xdr:nvPicPr>
        <xdr:cNvPr id="3" name="Picture 2">
          <a:extLst>
            <a:ext uri="{FF2B5EF4-FFF2-40B4-BE49-F238E27FC236}">
              <a16:creationId xmlns:a16="http://schemas.microsoft.com/office/drawing/2014/main" id="{839E0E6A-70E1-C82D-EADD-4F877E19BC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3689" y="2847245"/>
          <a:ext cx="2198605" cy="1240660"/>
        </a:xfrm>
        <a:prstGeom prst="rect">
          <a:avLst/>
        </a:prstGeom>
      </xdr:spPr>
    </xdr:pic>
    <xdr:clientData/>
  </xdr:twoCellAnchor>
  <xdr:twoCellAnchor editAs="oneCell">
    <xdr:from>
      <xdr:col>2</xdr:col>
      <xdr:colOff>415843</xdr:colOff>
      <xdr:row>1</xdr:row>
      <xdr:rowOff>145115</xdr:rowOff>
    </xdr:from>
    <xdr:to>
      <xdr:col>5</xdr:col>
      <xdr:colOff>339167</xdr:colOff>
      <xdr:row>7</xdr:row>
      <xdr:rowOff>115233</xdr:rowOff>
    </xdr:to>
    <xdr:pic>
      <xdr:nvPicPr>
        <xdr:cNvPr id="7" name="Picture 6">
          <a:extLst>
            <a:ext uri="{FF2B5EF4-FFF2-40B4-BE49-F238E27FC236}">
              <a16:creationId xmlns:a16="http://schemas.microsoft.com/office/drawing/2014/main" id="{0A721778-A549-DDF7-1498-BF9ACBDEEC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02961" y="376703"/>
          <a:ext cx="1761088" cy="20095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95251</xdr:colOff>
      <xdr:row>12</xdr:row>
      <xdr:rowOff>38100</xdr:rowOff>
    </xdr:from>
    <xdr:to>
      <xdr:col>0</xdr:col>
      <xdr:colOff>3314701</xdr:colOff>
      <xdr:row>18</xdr:row>
      <xdr:rowOff>105461</xdr:rowOff>
    </xdr:to>
    <xdr:pic>
      <xdr:nvPicPr>
        <xdr:cNvPr id="2" name="Picture 1">
          <a:extLst>
            <a:ext uri="{FF2B5EF4-FFF2-40B4-BE49-F238E27FC236}">
              <a16:creationId xmlns:a16="http://schemas.microsoft.com/office/drawing/2014/main" id="{0D13A4CB-4093-4677-9B18-BEB162390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2562225"/>
          <a:ext cx="3219450" cy="12103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730250</xdr:colOff>
      <xdr:row>21</xdr:row>
      <xdr:rowOff>86178</xdr:rowOff>
    </xdr:from>
    <xdr:to>
      <xdr:col>5</xdr:col>
      <xdr:colOff>1045022</xdr:colOff>
      <xdr:row>27</xdr:row>
      <xdr:rowOff>183838</xdr:rowOff>
    </xdr:to>
    <xdr:pic>
      <xdr:nvPicPr>
        <xdr:cNvPr id="2" name="Picture 1">
          <a:extLst>
            <a:ext uri="{FF2B5EF4-FFF2-40B4-BE49-F238E27FC236}">
              <a16:creationId xmlns:a16="http://schemas.microsoft.com/office/drawing/2014/main" id="{F4F53BD1-5E67-4079-903E-A0C10CD4D3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2417" y="4139595"/>
          <a:ext cx="2198605" cy="1240660"/>
        </a:xfrm>
        <a:prstGeom prst="rect">
          <a:avLst/>
        </a:prstGeom>
      </xdr:spPr>
    </xdr:pic>
    <xdr:clientData/>
  </xdr:twoCellAnchor>
  <xdr:twoCellAnchor editAs="oneCell">
    <xdr:from>
      <xdr:col>0</xdr:col>
      <xdr:colOff>277400</xdr:colOff>
      <xdr:row>17</xdr:row>
      <xdr:rowOff>10583</xdr:rowOff>
    </xdr:from>
    <xdr:to>
      <xdr:col>1</xdr:col>
      <xdr:colOff>343910</xdr:colOff>
      <xdr:row>27</xdr:row>
      <xdr:rowOff>126377</xdr:rowOff>
    </xdr:to>
    <xdr:pic>
      <xdr:nvPicPr>
        <xdr:cNvPr id="3" name="Picture 2">
          <a:extLst>
            <a:ext uri="{FF2B5EF4-FFF2-40B4-BE49-F238E27FC236}">
              <a16:creationId xmlns:a16="http://schemas.microsoft.com/office/drawing/2014/main" id="{D7CBFC5C-E69A-4144-A528-EA55556EC8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400" y="3302000"/>
          <a:ext cx="1738677" cy="20207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166</xdr:colOff>
      <xdr:row>14</xdr:row>
      <xdr:rowOff>27214</xdr:rowOff>
    </xdr:from>
    <xdr:to>
      <xdr:col>19</xdr:col>
      <xdr:colOff>2876</xdr:colOff>
      <xdr:row>51</xdr:row>
      <xdr:rowOff>82582</xdr:rowOff>
    </xdr:to>
    <xdr:grpSp>
      <xdr:nvGrpSpPr>
        <xdr:cNvPr id="14" name="Group 13">
          <a:extLst>
            <a:ext uri="{FF2B5EF4-FFF2-40B4-BE49-F238E27FC236}">
              <a16:creationId xmlns:a16="http://schemas.microsoft.com/office/drawing/2014/main" id="{9C977481-1FB0-3575-2E49-1CBC82E1805D}"/>
            </a:ext>
          </a:extLst>
        </xdr:cNvPr>
        <xdr:cNvGrpSpPr/>
      </xdr:nvGrpSpPr>
      <xdr:grpSpPr>
        <a:xfrm>
          <a:off x="17621416" y="2970439"/>
          <a:ext cx="8803810" cy="6751443"/>
          <a:chOff x="15613962" y="3020317"/>
          <a:chExt cx="8827343" cy="6260694"/>
        </a:xfrm>
      </xdr:grpSpPr>
      <xdr:graphicFrame macro="">
        <xdr:nvGraphicFramePr>
          <xdr:cNvPr id="10" name="Chart 9">
            <a:extLst>
              <a:ext uri="{FF2B5EF4-FFF2-40B4-BE49-F238E27FC236}">
                <a16:creationId xmlns:a16="http://schemas.microsoft.com/office/drawing/2014/main" id="{E24BA6DE-9CEE-4528-A61E-B61F77A7369C}"/>
              </a:ext>
            </a:extLst>
          </xdr:cNvPr>
          <xdr:cNvGraphicFramePr>
            <a:graphicFrameLocks/>
          </xdr:cNvGraphicFramePr>
        </xdr:nvGraphicFramePr>
        <xdr:xfrm>
          <a:off x="15627569" y="3020317"/>
          <a:ext cx="8813736" cy="5142295"/>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11" name="Picture 10">
            <a:extLst>
              <a:ext uri="{FF2B5EF4-FFF2-40B4-BE49-F238E27FC236}">
                <a16:creationId xmlns:a16="http://schemas.microsoft.com/office/drawing/2014/main" id="{C4490E90-7B24-4957-BCD6-05AC3CEAD85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566" t="11059" r="5448" b="5085"/>
          <a:stretch/>
        </xdr:blipFill>
        <xdr:spPr bwMode="auto">
          <a:xfrm>
            <a:off x="22592065" y="8395607"/>
            <a:ext cx="1738382" cy="827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8763158B-165E-4FA6-B6C4-8E71E93B14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25957" y="8330283"/>
            <a:ext cx="3043660" cy="8794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Rectangle 12">
            <a:extLst>
              <a:ext uri="{FF2B5EF4-FFF2-40B4-BE49-F238E27FC236}">
                <a16:creationId xmlns:a16="http://schemas.microsoft.com/office/drawing/2014/main" id="{56597470-7E73-AC82-7624-44DFCDF2EC4F}"/>
              </a:ext>
            </a:extLst>
          </xdr:cNvPr>
          <xdr:cNvSpPr/>
        </xdr:nvSpPr>
        <xdr:spPr>
          <a:xfrm>
            <a:off x="15613962" y="3021725"/>
            <a:ext cx="8824467" cy="6259286"/>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oneCell">
    <xdr:from>
      <xdr:col>0</xdr:col>
      <xdr:colOff>222250</xdr:colOff>
      <xdr:row>31</xdr:row>
      <xdr:rowOff>95250</xdr:rowOff>
    </xdr:from>
    <xdr:to>
      <xdr:col>2</xdr:col>
      <xdr:colOff>1193800</xdr:colOff>
      <xdr:row>37</xdr:row>
      <xdr:rowOff>133006</xdr:rowOff>
    </xdr:to>
    <xdr:pic>
      <xdr:nvPicPr>
        <xdr:cNvPr id="3" name="Picture 2">
          <a:extLst>
            <a:ext uri="{FF2B5EF4-FFF2-40B4-BE49-F238E27FC236}">
              <a16:creationId xmlns:a16="http://schemas.microsoft.com/office/drawing/2014/main" id="{973B3552-93FC-4083-A6C8-ED34A74BA8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2250" y="6085417"/>
          <a:ext cx="2971800" cy="1117256"/>
        </a:xfrm>
        <a:prstGeom prst="rect">
          <a:avLst/>
        </a:prstGeom>
      </xdr:spPr>
    </xdr:pic>
    <xdr:clientData/>
  </xdr:twoCellAnchor>
  <xdr:twoCellAnchor editAs="oneCell">
    <xdr:from>
      <xdr:col>4</xdr:col>
      <xdr:colOff>1341850</xdr:colOff>
      <xdr:row>31</xdr:row>
      <xdr:rowOff>43845</xdr:rowOff>
    </xdr:from>
    <xdr:to>
      <xdr:col>6</xdr:col>
      <xdr:colOff>767621</xdr:colOff>
      <xdr:row>38</xdr:row>
      <xdr:rowOff>25089</xdr:rowOff>
    </xdr:to>
    <xdr:pic>
      <xdr:nvPicPr>
        <xdr:cNvPr id="2" name="Picture 1">
          <a:extLst>
            <a:ext uri="{FF2B5EF4-FFF2-40B4-BE49-F238E27FC236}">
              <a16:creationId xmlns:a16="http://schemas.microsoft.com/office/drawing/2014/main" id="{511FBA09-2F89-4FFD-84FB-400E884AD33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14933" y="6034012"/>
          <a:ext cx="2198605" cy="1240660"/>
        </a:xfrm>
        <a:prstGeom prst="rect">
          <a:avLst/>
        </a:prstGeom>
      </xdr:spPr>
    </xdr:pic>
    <xdr:clientData/>
  </xdr:twoCellAnchor>
  <xdr:twoCellAnchor editAs="oneCell">
    <xdr:from>
      <xdr:col>3</xdr:col>
      <xdr:colOff>497416</xdr:colOff>
      <xdr:row>26</xdr:row>
      <xdr:rowOff>95251</xdr:rowOff>
    </xdr:from>
    <xdr:to>
      <xdr:col>4</xdr:col>
      <xdr:colOff>849677</xdr:colOff>
      <xdr:row>37</xdr:row>
      <xdr:rowOff>136961</xdr:rowOff>
    </xdr:to>
    <xdr:pic>
      <xdr:nvPicPr>
        <xdr:cNvPr id="4" name="Picture 3">
          <a:extLst>
            <a:ext uri="{FF2B5EF4-FFF2-40B4-BE49-F238E27FC236}">
              <a16:creationId xmlns:a16="http://schemas.microsoft.com/office/drawing/2014/main" id="{80DE89D5-8DEA-468D-A6CF-8F46974A8EE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84083" y="5185834"/>
          <a:ext cx="1738677" cy="20207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2102606</xdr:colOff>
      <xdr:row>7</xdr:row>
      <xdr:rowOff>456595</xdr:rowOff>
    </xdr:from>
    <xdr:to>
      <xdr:col>1</xdr:col>
      <xdr:colOff>4301211</xdr:colOff>
      <xdr:row>8</xdr:row>
      <xdr:rowOff>554255</xdr:rowOff>
    </xdr:to>
    <xdr:pic>
      <xdr:nvPicPr>
        <xdr:cNvPr id="2" name="Picture 1">
          <a:extLst>
            <a:ext uri="{FF2B5EF4-FFF2-40B4-BE49-F238E27FC236}">
              <a16:creationId xmlns:a16="http://schemas.microsoft.com/office/drawing/2014/main" id="{B14E6937-1B01-43ED-8A22-99F9AAB596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7724" y="5689742"/>
          <a:ext cx="2198605" cy="1240660"/>
        </a:xfrm>
        <a:prstGeom prst="rect">
          <a:avLst/>
        </a:prstGeom>
      </xdr:spPr>
    </xdr:pic>
    <xdr:clientData/>
  </xdr:twoCellAnchor>
  <xdr:twoCellAnchor editAs="oneCell">
    <xdr:from>
      <xdr:col>0</xdr:col>
      <xdr:colOff>582707</xdr:colOff>
      <xdr:row>6</xdr:row>
      <xdr:rowOff>762000</xdr:rowOff>
    </xdr:from>
    <xdr:to>
      <xdr:col>1</xdr:col>
      <xdr:colOff>1716266</xdr:colOff>
      <xdr:row>8</xdr:row>
      <xdr:rowOff>496794</xdr:rowOff>
    </xdr:to>
    <xdr:pic>
      <xdr:nvPicPr>
        <xdr:cNvPr id="3" name="Picture 2">
          <a:extLst>
            <a:ext uri="{FF2B5EF4-FFF2-40B4-BE49-F238E27FC236}">
              <a16:creationId xmlns:a16="http://schemas.microsoft.com/office/drawing/2014/main" id="{444EFFF2-151F-4CC0-805D-F0D6361C65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7" y="4852147"/>
          <a:ext cx="1738677" cy="20207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8</xdr:row>
      <xdr:rowOff>0</xdr:rowOff>
    </xdr:from>
    <xdr:to>
      <xdr:col>42</xdr:col>
      <xdr:colOff>519547</xdr:colOff>
      <xdr:row>56</xdr:row>
      <xdr:rowOff>103044</xdr:rowOff>
    </xdr:to>
    <xdr:graphicFrame macro="">
      <xdr:nvGraphicFramePr>
        <xdr:cNvPr id="34" name="Chart 33">
          <a:extLst>
            <a:ext uri="{FF2B5EF4-FFF2-40B4-BE49-F238E27FC236}">
              <a16:creationId xmlns:a16="http://schemas.microsoft.com/office/drawing/2014/main" id="{9045322E-EB32-4C96-A8AB-B5BDA3A32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8AC7C6-EAFE-48CD-9D3F-31E3A3F9F3AE}" name="Table3" displayName="Table3" ref="H2:L34" totalsRowShown="0" headerRowDxfId="56" dataDxfId="55" tableBorderDxfId="54">
  <autoFilter ref="H2:L34" xr:uid="{2D8AC7C6-EAFE-48CD-9D3F-31E3A3F9F3AE}"/>
  <tableColumns count="5">
    <tableColumn id="1" xr3:uid="{78984366-FA8E-4615-A0BD-FAFBADD5BB56}" name="Intervention" dataDxfId="53"/>
    <tableColumn id="2" xr3:uid="{800FDEDF-45F1-466C-A7BF-C6605FB235EC}" name="Raw Material Costs" dataDxfId="52"/>
    <tableColumn id="3" xr3:uid="{8B5750FD-662B-4E83-AC81-255039B1B82B}" name="Material Transport Costs" dataDxfId="51"/>
    <tableColumn id="4" xr3:uid="{A57D7FC5-4CDA-41F4-923F-042515A59249}" name="Install Costs" dataDxfId="50"/>
    <tableColumn id="5" xr3:uid="{1894C644-FEF2-4B20-BC78-C340D033657E}" name="Project Transport Costs" dataDxfId="4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31471FB-6821-4AC5-9C4C-0053A107352C}" name="GullyGrip_Blocking_Raw_Material_Costs" displayName="GullyGrip_Blocking_Raw_Material_Costs" ref="B32:E76" totalsRowShown="0" headerRowDxfId="48">
  <autoFilter ref="B32:E76" xr:uid="{031471FB-6821-4AC5-9C4C-0053A107352C}"/>
  <sortState xmlns:xlrd2="http://schemas.microsoft.com/office/spreadsheetml/2017/richdata2" ref="B33:E76">
    <sortCondition ref="D32:D76"/>
  </sortState>
  <tableColumns count="4">
    <tableColumn id="1" xr3:uid="{AF8A769F-E002-4BA8-AD8D-61489CB47863}" name="Intervention Type"/>
    <tableColumn id="2" xr3:uid="{F911B94F-0D74-4F15-9BDF-C70D2AA225BC}" name="Dimensions"/>
    <tableColumn id="4" xr3:uid="{E8E8C397-BDBD-4EF7-BB9A-0342B7848C72}" name="LOOKUP" dataDxfId="47">
      <calculatedColumnFormula>GullyGrip_Blocking_Raw_Material_Costs[[#This Row],[Intervention Type]]&amp;GullyGrip_Blocking_Raw_Material_Costs[[#This Row],[Dimensions]]</calculatedColumnFormula>
    </tableColumn>
    <tableColumn id="3" xr3:uid="{EE7F76B8-97D1-40CC-B13A-33CD2878CA0E}" name="Av. kgCO2eq" dataDxfId="4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0BF7268-0BFA-4F1C-AEC4-2D0E75360E97}" name="GullyGrip_Blocking_Installation_Costs" displayName="GullyGrip_Blocking_Installation_Costs" ref="B144:F255" totalsRowShown="0" headerRowDxfId="45" dataDxfId="44">
  <autoFilter ref="B144:F255" xr:uid="{60BF7268-0BFA-4F1C-AEC4-2D0E75360E97}"/>
  <sortState xmlns:xlrd2="http://schemas.microsoft.com/office/spreadsheetml/2017/richdata2" ref="B145:F255">
    <sortCondition ref="E144:E255"/>
  </sortState>
  <tableColumns count="5">
    <tableColumn id="1" xr3:uid="{530783C9-C2ED-49C0-8B9C-E2C99D7CAF92}" name="Intervention Type" dataDxfId="43"/>
    <tableColumn id="2" xr3:uid="{CACB539E-45BA-4DE5-A8E6-5450A23B5C5E}" name="Dimensions" dataDxfId="42"/>
    <tableColumn id="3" xr3:uid="{16DE134E-D36E-45E4-AB7D-CD7DB8DAA117}" name="Installation " dataDxfId="41"/>
    <tableColumn id="4" xr3:uid="{38A6E57F-AD89-4F99-920B-54DF91A9DF69}" name="LOOKUP" dataDxfId="40">
      <calculatedColumnFormula>GullyGrip_Blocking_Installation_Costs[[#This Row],[Intervention Type]]&amp;GullyGrip_Blocking_Installation_Costs[[#This Row],[Dimensions]]&amp;GullyGrip_Blocking_Installation_Costs[[#This Row],[Installation ]]</calculatedColumnFormula>
    </tableColumn>
    <tableColumn id="5" xr3:uid="{C2422CAB-AC0E-4895-9FBB-754F0E69171D}" name="Av. kgCO2eq" dataDxfId="3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67245E-9E6B-43EE-8E8A-E70E2054501E}" name="Gullygrip_RM_Ceilings" displayName="Gullygrip_RM_Ceilings" ref="F32:H76" totalsRowShown="0" headerRowDxfId="38" tableBorderDxfId="37">
  <autoFilter ref="F32:H76" xr:uid="{6267245E-9E6B-43EE-8E8A-E70E2054501E}"/>
  <tableColumns count="3">
    <tableColumn id="1" xr3:uid="{BF938B38-AE8C-49E9-9896-EAA773E3932D}" name="LOOKUP" dataDxfId="36">
      <calculatedColumnFormula>GullyGrip_Blocking_Raw_Material_Costs[[#This Row],[LOOKUP]]</calculatedColumnFormula>
    </tableColumn>
    <tableColumn id="2" xr3:uid="{27130422-F18E-4CCA-A807-A8D5BDCB7073}" name="Av. kgCO2eq" dataDxfId="35"/>
    <tableColumn id="3" xr3:uid="{44735D7C-589C-449D-B379-BEBB4DB4FF52}" name="Ceilings" dataDxfId="3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E2F5322-7788-4C85-84B4-3932EE396CA3}" name="Bunding_Raw_Material_Costs" displayName="Bunding_Raw_Material_Costs" ref="B34:E90" totalsRowShown="0" headerRowDxfId="33">
  <autoFilter ref="B34:E90" xr:uid="{AE2F5322-7788-4C85-84B4-3932EE396CA3}"/>
  <sortState xmlns:xlrd2="http://schemas.microsoft.com/office/spreadsheetml/2017/richdata2" ref="B35:E90">
    <sortCondition ref="B34:B90"/>
  </sortState>
  <tableColumns count="4">
    <tableColumn id="1" xr3:uid="{1B9AEAF4-AAAB-4B57-90AB-EB1DCD902D38}" name="Intervention Type"/>
    <tableColumn id="2" xr3:uid="{D3E8A483-3FD5-408A-95BD-286BD8A63249}" name="Dimensions"/>
    <tableColumn id="3" xr3:uid="{AC6C6208-68DD-42B6-B070-03A8B435DF22}" name="LOOKUP">
      <calculatedColumnFormula>B35&amp;C35</calculatedColumnFormula>
    </tableColumn>
    <tableColumn id="4" xr3:uid="{40852378-4374-4E18-9809-237E7A331721}" name="Av. kgCO2eq" dataDxfId="3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89ECEBB-20CA-44C8-A763-5574D418EF7A}" name="Bunding_Installation_Costs" displayName="Bunding_Installation_Costs" ref="B170:F292" totalsRowShown="0" headerRowDxfId="31">
  <autoFilter ref="B170:F292" xr:uid="{089ECEBB-20CA-44C8-A763-5574D418EF7A}"/>
  <sortState xmlns:xlrd2="http://schemas.microsoft.com/office/spreadsheetml/2017/richdata2" ref="B171:F292">
    <sortCondition ref="E170:E292"/>
  </sortState>
  <tableColumns count="5">
    <tableColumn id="1" xr3:uid="{E41F5D8B-EAFB-486C-8DC7-B237E3EBDD81}" name="Intervention Types"/>
    <tableColumn id="2" xr3:uid="{122009C3-A30E-4E48-A1AA-A84BE5DF9816}" name="Dimensions"/>
    <tableColumn id="3" xr3:uid="{D28AA5DD-A8EC-462E-B175-29AE41C89634}" name="Installation"/>
    <tableColumn id="4" xr3:uid="{3F07007A-C066-4219-9861-C4F9E9907470}" name="LOOKUP">
      <calculatedColumnFormula>B171&amp;C171&amp;D171</calculatedColumnFormula>
    </tableColumn>
    <tableColumn id="5" xr3:uid="{E5121B5F-334F-4D12-937E-623BB68B8CDC}" name="Av. kgCO2eq" dataDxfId="3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9AD816-4A03-4506-AD7C-94A654F6CAD0}" name="Bunding_RM_Ceilings" displayName="Bunding_RM_Ceilings" ref="F34:H90" totalsRowShown="0" headerRowDxfId="29" tableBorderDxfId="28">
  <autoFilter ref="F34:H90" xr:uid="{B39AD816-4A03-4506-AD7C-94A654F6CAD0}"/>
  <tableColumns count="3">
    <tableColumn id="1" xr3:uid="{5828853B-9520-4FAF-AAE0-72E8646772C7}" name="LOOKUP" dataDxfId="27">
      <calculatedColumnFormula>Bunding_Raw_Material_Costs[[#This Row],[LOOKUP]]</calculatedColumnFormula>
    </tableColumn>
    <tableColumn id="2" xr3:uid="{170091C9-7B24-401E-9BE6-EC20A977D1BA}" name="Av. kgCO2eq" dataDxfId="26"/>
    <tableColumn id="3" xr3:uid="{7CA2C5E2-7BAD-481C-927D-0538FC6FEF75}" name="Ceilings" dataDxfId="2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89D3542-C635-492B-B43E-F7084F247D4B}" name="Revegetation_Raw_Material_Costs" displayName="Revegetation_Raw_Material_Costs" ref="B35:E52" totalsRowShown="0" headerRowDxfId="24" dataDxfId="23">
  <autoFilter ref="B35:E52" xr:uid="{C89D3542-C635-492B-B43E-F7084F247D4B}"/>
  <sortState xmlns:xlrd2="http://schemas.microsoft.com/office/spreadsheetml/2017/richdata2" ref="B36:E50">
    <sortCondition ref="D5:D21"/>
  </sortState>
  <tableColumns count="4">
    <tableColumn id="1" xr3:uid="{A080AF0C-46C1-473C-B97E-7545AE8C57D4}" name="Intervention Type" dataDxfId="22"/>
    <tableColumn id="2" xr3:uid="{5A6B2634-244B-47C9-A4E6-D407836FA211}" name="Units" dataDxfId="21"/>
    <tableColumn id="3" xr3:uid="{45F251F2-0C23-4659-86AF-2564921A64D8}" name="LOOKUP" dataDxfId="20">
      <calculatedColumnFormula>B36&amp;C36</calculatedColumnFormula>
    </tableColumn>
    <tableColumn id="4" xr3:uid="{6F26A515-5FD8-42BA-938A-8DD55C802E75}" name="Av. kgCO2eq" dataDxfId="1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36DDFEA-55C9-49C2-8454-4DFF3524CDFF}" name="Revegetation_Installation_Costs" displayName="Revegetation_Installation_Costs" ref="B92:F121" totalsRowShown="0" headerRowDxfId="18">
  <autoFilter ref="B92:F121" xr:uid="{036DDFEA-55C9-49C2-8454-4DFF3524CDFF}"/>
  <sortState xmlns:xlrd2="http://schemas.microsoft.com/office/spreadsheetml/2017/richdata2" ref="B93:F121">
    <sortCondition ref="E5:E29"/>
  </sortState>
  <tableColumns count="5">
    <tableColumn id="1" xr3:uid="{256E09FF-C7EB-4CB3-B3B5-C30020B41ED9}" name="Intervention Type" dataDxfId="17"/>
    <tableColumn id="2" xr3:uid="{48512472-B9E1-4BEC-A649-4F3E8ABAF5C9}" name="Units"/>
    <tableColumn id="3" xr3:uid="{91729910-AFA9-47EF-9A0E-1B1FDB5EA92F}" name="Installation"/>
    <tableColumn id="4" xr3:uid="{B8AF6257-BF7C-4BDC-8EF0-C268EAE3AD10}" name="LOOKUP">
      <calculatedColumnFormula>B93&amp;C93&amp;D93</calculatedColumnFormula>
    </tableColumn>
    <tableColumn id="5" xr3:uid="{BB0A45C0-04AE-4854-90BC-95FD2A1106D7}" name="Av. kgCO2eq" dataDxfId="1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D866FE-5358-424C-99C9-230500D42D80}" name="Revegetation_RM_Ceilings" displayName="Revegetation_RM_Ceilings" ref="F35:H52" totalsRowShown="0" headerRowDxfId="15" tableBorderDxfId="14">
  <autoFilter ref="F35:H52" xr:uid="{0DD866FE-5358-424C-99C9-230500D42D80}"/>
  <tableColumns count="3">
    <tableColumn id="1" xr3:uid="{5810BB99-C199-4195-8DF4-E37B0AE7D7D2}" name="LOOKUP" dataDxfId="13">
      <calculatedColumnFormula>Revegetation_Raw_Material_Costs[[#This Row],[LOOKUP]]</calculatedColumnFormula>
    </tableColumn>
    <tableColumn id="2" xr3:uid="{0C0BCE13-752A-434E-9219-6563EBA30679}" name="Av. kgCO2eq"/>
    <tableColumn id="3" xr3:uid="{680A0F36-1FC7-4BBD-ABDF-41C2615B4DAB}" name="Ceiling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2749623-1C49-4902-B62C-8AA1AE2A6097}" name="Project_Vehicle_Costs" displayName="Project_Vehicle_Costs" ref="B3:J4" totalsRowShown="0" headerRowDxfId="12">
  <autoFilter ref="B3:J4" xr:uid="{F2749623-1C49-4902-B62C-8AA1AE2A6097}"/>
  <sortState xmlns:xlrd2="http://schemas.microsoft.com/office/spreadsheetml/2017/richdata2" ref="B4:J4">
    <sortCondition ref="B4"/>
  </sortState>
  <tableColumns count="9">
    <tableColumn id="1" xr3:uid="{9CC6A4F7-99BA-4859-ADD5-98BD2DEED805}" name="Argocat/Softrack" dataDxfId="11">
      <calculatedColumnFormula>0.566*1.75</calculatedColumnFormula>
    </tableColumn>
    <tableColumn id="2" xr3:uid="{DC6C2DBA-F2FE-4285-85AC-256C8EFBFA35}" name="Artic Lorry" dataDxfId="10"/>
    <tableColumn id="3" xr3:uid="{3864C85F-EA13-4C8E-9490-26A123BBCE55}" name="Delivery HGV" dataDxfId="9"/>
    <tableColumn id="4" xr3:uid="{A791DC88-82B3-4E31-B842-B19C0B79ACDB}" name="Helicopter" dataDxfId="8"/>
    <tableColumn id="9" xr3:uid="{8D16F236-5633-47E6-81E4-8349331148B4}" name="LPGV" dataDxfId="7">
      <calculatedColumnFormula>0.85*Project_Vehicle_Costs[[#This Row],[Other LPGV]]</calculatedColumnFormula>
    </tableColumn>
    <tableColumn id="5" xr3:uid="{525568E1-9B4A-434F-93E1-9406617C035D}" name="Other LPGV" dataDxfId="6"/>
    <tableColumn id="6" xr3:uid="{956CDA81-6B60-4252-987C-6289496C2870}" name="Passenger Vehicle" dataDxfId="5"/>
    <tableColumn id="7" xr3:uid="{DD1B4473-B694-484C-8103-A67C3CDA907B}" name="Passenger Vehicle + Trailer" dataDxfId="4">
      <calculatedColumnFormula>H4*1.75</calculatedColumnFormula>
    </tableColumn>
    <tableColumn id="8" xr3:uid="{CDA521AC-9B6A-49EE-B30A-B0E23284AE74}" name="17t Delivery" dataDxfId="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051F188-91B7-44ED-B580-9B7AB733528B}" name="Est_Project_Delivery_Time" displayName="Est_Project_Delivery_Time" ref="B11:C273" totalsRowShown="0" headerRowDxfId="2">
  <autoFilter ref="B11:C273" xr:uid="{9051F188-91B7-44ED-B580-9B7AB733528B}"/>
  <sortState xmlns:xlrd2="http://schemas.microsoft.com/office/spreadsheetml/2017/richdata2" ref="B12:C273">
    <sortCondition ref="B11:B273"/>
  </sortState>
  <tableColumns count="2">
    <tableColumn id="1" xr3:uid="{A46A9037-1673-436C-B61C-58986BBB6AD8}" name="Intervention" dataDxfId="1"/>
    <tableColumn id="2" xr3:uid="{C7156E95-F260-4522-B630-C9D795ECD1B2}" name="Time (h)" dataDxfId="0">
      <calculatedColumnFormula>IFERROR(D12/'Carbon Costs Calculator'!$AD$12,'Project Data'!D12)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Custom 1">
      <a:dk1>
        <a:sysClr val="windowText" lastClr="000000"/>
      </a:dk1>
      <a:lt1>
        <a:sysClr val="window" lastClr="FFFFFF"/>
      </a:lt1>
      <a:dk2>
        <a:srgbClr val="DA006D"/>
      </a:dk2>
      <a:lt2>
        <a:srgbClr val="FF8BB7"/>
      </a:lt2>
      <a:accent1>
        <a:srgbClr val="0072B2"/>
      </a:accent1>
      <a:accent2>
        <a:srgbClr val="C2D600"/>
      </a:accent2>
      <a:accent3>
        <a:srgbClr val="800080"/>
      </a:accent3>
      <a:accent4>
        <a:srgbClr val="40E0D0"/>
      </a:accent4>
      <a:accent5>
        <a:srgbClr val="FFA500"/>
      </a:accent5>
      <a:accent6>
        <a:srgbClr val="009E73"/>
      </a:accent6>
      <a:hlink>
        <a:srgbClr val="057BB3"/>
      </a:hlink>
      <a:folHlink>
        <a:srgbClr val="BFFDF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E746-6281-480F-8D7D-2B9F07D58F7A}">
  <dimension ref="A1:AZ150"/>
  <sheetViews>
    <sheetView tabSelected="1" zoomScale="85" zoomScaleNormal="85" workbookViewId="0">
      <selection activeCell="B4" sqref="B4"/>
    </sheetView>
  </sheetViews>
  <sheetFormatPr defaultRowHeight="14.45"/>
  <cols>
    <col min="1" max="1" width="3.42578125" customWidth="1"/>
    <col min="2" max="2" width="47.7109375" customWidth="1"/>
  </cols>
  <sheetData>
    <row r="1" spans="1:52" ht="15" thickBot="1">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row>
    <row r="2" spans="1:52" ht="15">
      <c r="A2" s="142"/>
      <c r="B2" s="175"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row>
    <row r="3" spans="1:52" ht="15">
      <c r="A3" s="142"/>
      <c r="B3" s="176"/>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row>
    <row r="4" spans="1:52" ht="141" customHeight="1">
      <c r="A4" s="142"/>
      <c r="B4" s="177"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row>
    <row r="5" spans="1:52" ht="15">
      <c r="A5" s="142"/>
      <c r="B5" s="176"/>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row>
    <row r="6" spans="1:52" ht="93.6" thickBot="1">
      <c r="A6" s="142"/>
      <c r="B6" s="178" t="s">
        <v>2</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row>
    <row r="7" spans="1:52">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row>
    <row r="8" spans="1:52">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row>
    <row r="9" spans="1:52">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row>
    <row r="10" spans="1:52">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row>
    <row r="11" spans="1:52">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row>
    <row r="12" spans="1:52">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row>
    <row r="13" spans="1:52">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row>
    <row r="14" spans="1:52">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row>
    <row r="15" spans="1:52">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row>
    <row r="16" spans="1:52">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row>
    <row r="17" spans="1:52">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row>
    <row r="18" spans="1:52">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row>
    <row r="19" spans="1:52">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row>
    <row r="20" spans="1:52">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row>
    <row r="21" spans="1:52">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row>
    <row r="22" spans="1:52">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row>
    <row r="23" spans="1:52">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row>
    <row r="24" spans="1:52">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row>
    <row r="25" spans="1:52">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row>
    <row r="26" spans="1:52">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row>
    <row r="27" spans="1:52">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row>
    <row r="28" spans="1:52">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row>
    <row r="29" spans="1:52">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row>
    <row r="30" spans="1:52">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row>
    <row r="31" spans="1:52">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row>
    <row r="32" spans="1:52">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row>
    <row r="33" spans="1:52">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row>
    <row r="34" spans="1:52">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row>
    <row r="35" spans="1:52">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row>
    <row r="36" spans="1:52">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row>
    <row r="37" spans="1:52">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row>
    <row r="38" spans="1:52">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row>
    <row r="39" spans="1:52">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row>
    <row r="40" spans="1:52">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row>
    <row r="41" spans="1:52">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row>
    <row r="42" spans="1:52">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row>
    <row r="43" spans="1:52">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row>
    <row r="44" spans="1:52">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row>
    <row r="45" spans="1:52">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row>
    <row r="46" spans="1:52">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row>
    <row r="47" spans="1:52">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row>
    <row r="48" spans="1:52">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row>
    <row r="49" spans="1:52">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row>
    <row r="50" spans="1:52">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row>
    <row r="51" spans="1:52">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row>
    <row r="52" spans="1:52">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row>
    <row r="53" spans="1:52">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row>
    <row r="54" spans="1:52">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row>
    <row r="55" spans="1:52">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row>
    <row r="56" spans="1:52">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52">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row>
    <row r="58" spans="1:52">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row>
    <row r="59" spans="1:52">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row>
    <row r="60" spans="1:52">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row>
    <row r="61" spans="1:52">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row>
    <row r="62" spans="1:52">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row>
    <row r="63" spans="1:52">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row>
    <row r="64" spans="1:52">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row>
    <row r="65" spans="1:52">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row>
    <row r="66" spans="1:52">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row>
    <row r="67" spans="1:52">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row>
    <row r="68" spans="1:52">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row>
    <row r="69" spans="1:52">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row>
    <row r="70" spans="1:52">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row>
    <row r="71" spans="1:52">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row>
    <row r="72" spans="1:52">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row>
    <row r="73" spans="1:52">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row>
    <row r="74" spans="1:52">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row>
    <row r="75" spans="1:52">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row>
    <row r="76" spans="1:52">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row>
    <row r="77" spans="1:52">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row>
    <row r="78" spans="1:52">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row>
    <row r="79" spans="1:52">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row>
    <row r="80" spans="1:52">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row>
    <row r="81" spans="1:52">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row>
    <row r="82" spans="1:52">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row>
    <row r="83" spans="1:52">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row>
    <row r="84" spans="1:52">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row>
    <row r="85" spans="1:52">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row>
    <row r="86" spans="1:52">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row>
    <row r="87" spans="1:52">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row>
    <row r="88" spans="1:52">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row>
    <row r="89" spans="1:52">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row>
    <row r="90" spans="1:52">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row>
    <row r="91" spans="1:52">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row>
    <row r="92" spans="1:52">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row>
    <row r="93" spans="1:52">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row>
    <row r="94" spans="1:52">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row>
    <row r="95" spans="1:52">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row>
    <row r="96" spans="1:52">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row>
    <row r="97" spans="1:52">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row>
    <row r="98" spans="1:52">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row>
    <row r="99" spans="1:52">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row>
    <row r="100" spans="1:52">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row>
    <row r="101" spans="1:52">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row>
    <row r="102" spans="1:52">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row>
    <row r="103" spans="1:52">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row>
    <row r="104" spans="1:52">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row>
    <row r="105" spans="1:52">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row>
    <row r="106" spans="1:52">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row>
    <row r="107" spans="1:52">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row>
    <row r="108" spans="1:52">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row>
    <row r="109" spans="1:52">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row>
    <row r="110" spans="1:52">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row>
    <row r="111" spans="1:52">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row>
    <row r="112" spans="1:5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row>
    <row r="113" spans="1:5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row>
    <row r="114" spans="1:5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row>
    <row r="115" spans="1:5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row>
    <row r="116" spans="1:5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row>
    <row r="117" spans="1:52">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row>
    <row r="118" spans="1:52">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row>
    <row r="119" spans="1:52">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row>
    <row r="120" spans="1:52">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row>
    <row r="121" spans="1:52">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row>
    <row r="122" spans="1:52">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row>
    <row r="123" spans="1:52">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row>
    <row r="124" spans="1:52">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row>
    <row r="125" spans="1:52">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row>
    <row r="126" spans="1:52">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row>
    <row r="127" spans="1:52">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row>
    <row r="128" spans="1:52">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row>
    <row r="129" spans="1:52">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row>
    <row r="130" spans="1:52">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row>
    <row r="131" spans="1:52">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row>
    <row r="132" spans="1:52">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row>
    <row r="133" spans="1:52">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row>
    <row r="134" spans="1:52">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row>
    <row r="135" spans="1:52">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row>
    <row r="136" spans="1:52">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row>
    <row r="137" spans="1:52">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row>
    <row r="138" spans="1:52">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row>
    <row r="139" spans="1:52">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row>
    <row r="140" spans="1:52">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row>
    <row r="141" spans="1:52">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row>
    <row r="142" spans="1:52">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row>
    <row r="143" spans="1:52">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row>
    <row r="144" spans="1:52">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row>
    <row r="145" spans="1:52">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row>
    <row r="146" spans="1:52">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row>
    <row r="147" spans="1:52">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row>
    <row r="148" spans="1:52">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row>
    <row r="149" spans="1:52">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row>
    <row r="150" spans="1:52">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row>
  </sheetData>
  <sheetProtection algorithmName="SHA-512" hashValue="vZ0Szjtox9nV0f+kj/570ovzj9eIeiNkv82HKB4kN9fGKdtb1Tks/LBEgLj+jvw0pu8TqdFbtTyhLlW984oLaA==" saltValue="MnlrsU/ZmjE5PI5AzNld2Q==" spinCount="100000" sheet="1"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152A-2391-46EF-BAE8-F58EA07D38B1}">
  <dimension ref="A1:G16"/>
  <sheetViews>
    <sheetView zoomScale="85" zoomScaleNormal="85" workbookViewId="0">
      <selection activeCell="C7" sqref="C7"/>
    </sheetView>
  </sheetViews>
  <sheetFormatPr defaultColWidth="9.140625" defaultRowHeight="14.1"/>
  <cols>
    <col min="1" max="1" width="9.140625" style="124" customWidth="1"/>
    <col min="2" max="2" width="4.7109375" style="122" customWidth="1"/>
    <col min="3" max="3" width="109.5703125" style="123" customWidth="1"/>
    <col min="4" max="16384" width="9.140625" style="122"/>
  </cols>
  <sheetData>
    <row r="1" spans="1:7" s="120" customFormat="1" ht="18">
      <c r="A1" s="118" t="s">
        <v>3</v>
      </c>
      <c r="B1" s="118"/>
      <c r="C1" s="119"/>
      <c r="D1" s="118"/>
      <c r="E1" s="118"/>
      <c r="F1" s="118"/>
      <c r="G1" s="118"/>
    </row>
    <row r="3" spans="1:7" ht="14.45">
      <c r="A3" s="172" t="s">
        <v>4</v>
      </c>
      <c r="C3" s="173" t="s">
        <v>5</v>
      </c>
    </row>
    <row r="5" spans="1:7" ht="42">
      <c r="A5" s="172" t="s">
        <v>6</v>
      </c>
      <c r="C5" s="173" t="s">
        <v>7</v>
      </c>
    </row>
    <row r="6" spans="1:7">
      <c r="A6" s="126"/>
      <c r="C6" s="125"/>
    </row>
    <row r="7" spans="1:7" ht="84.95">
      <c r="A7" s="172" t="s">
        <v>8</v>
      </c>
      <c r="C7" s="173" t="s">
        <v>9</v>
      </c>
    </row>
    <row r="8" spans="1:7">
      <c r="C8" s="125"/>
    </row>
    <row r="9" spans="1:7" ht="14.45">
      <c r="A9" s="121" t="s">
        <v>10</v>
      </c>
      <c r="C9" s="173" t="s">
        <v>11</v>
      </c>
    </row>
    <row r="11" spans="1:7">
      <c r="A11" s="127" t="s">
        <v>12</v>
      </c>
    </row>
    <row r="12" spans="1:7" ht="49.5" customHeight="1">
      <c r="A12" s="128" t="s">
        <v>13</v>
      </c>
      <c r="B12" s="293" t="s">
        <v>14</v>
      </c>
      <c r="C12" s="293"/>
    </row>
    <row r="13" spans="1:7" ht="30.75" customHeight="1">
      <c r="A13" s="128" t="s">
        <v>13</v>
      </c>
      <c r="B13" s="293" t="s">
        <v>15</v>
      </c>
      <c r="C13" s="293"/>
    </row>
    <row r="14" spans="1:7">
      <c r="A14" s="128" t="s">
        <v>13</v>
      </c>
      <c r="B14" s="174" t="s">
        <v>16</v>
      </c>
    </row>
    <row r="16" spans="1:7" ht="57">
      <c r="A16" s="294" t="s">
        <v>17</v>
      </c>
      <c r="B16" s="294"/>
      <c r="C16" s="173" t="s">
        <v>18</v>
      </c>
    </row>
  </sheetData>
  <sheetProtection algorithmName="SHA-512" hashValue="gJLVGB//Q3zneFg23sejCvy3RRyz4c7YSPcS40/61Wq6wghcQGbm5SbrgBxSm3DYMF7c4vI+H7B57HiQ6kUS2w==" saltValue="JutBPeFGCCJiqSvvqf6YTw==" spinCount="100000" sheet="1" autoFilter="0"/>
  <mergeCells count="3">
    <mergeCell ref="B12:C12"/>
    <mergeCell ref="B13:C13"/>
    <mergeCell ref="A16:B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B1D43-9EC8-4AA6-AAA2-7EFDDDF6E66D}">
  <dimension ref="A1:AZ150"/>
  <sheetViews>
    <sheetView zoomScale="85" zoomScaleNormal="85" workbookViewId="0">
      <selection activeCell="B12" sqref="B12"/>
    </sheetView>
  </sheetViews>
  <sheetFormatPr defaultRowHeight="14.45"/>
  <cols>
    <col min="2" max="2" width="125.5703125" style="148" customWidth="1"/>
  </cols>
  <sheetData>
    <row r="1" spans="1:52" ht="18">
      <c r="A1" s="118" t="s">
        <v>19</v>
      </c>
      <c r="B1" s="147"/>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row>
    <row r="2" spans="1:52">
      <c r="A2" s="142"/>
      <c r="B2" s="147"/>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row>
    <row r="3" spans="1:52" ht="15.6">
      <c r="A3" s="129" t="s">
        <v>20</v>
      </c>
      <c r="B3" s="147"/>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row>
    <row r="4" spans="1:52" ht="32.25" customHeight="1">
      <c r="A4" s="172" t="s">
        <v>13</v>
      </c>
      <c r="B4" s="173" t="s">
        <v>21</v>
      </c>
      <c r="C4" s="122"/>
      <c r="D4" s="122"/>
      <c r="E4" s="122"/>
      <c r="F4" s="122"/>
      <c r="G4" s="122"/>
      <c r="H4" s="122"/>
      <c r="I4" s="122"/>
      <c r="J4" s="122"/>
      <c r="K4" s="122"/>
      <c r="L4" s="12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row>
    <row r="5" spans="1:52" ht="32.25" customHeight="1">
      <c r="A5" s="172" t="s">
        <v>13</v>
      </c>
      <c r="B5" s="278" t="s">
        <v>22</v>
      </c>
      <c r="C5" s="122"/>
      <c r="D5" s="122"/>
      <c r="E5" s="122"/>
      <c r="F5" s="122"/>
      <c r="G5" s="122"/>
      <c r="H5" s="122"/>
      <c r="I5" s="122"/>
      <c r="J5" s="122"/>
      <c r="K5" s="122"/>
      <c r="L5" s="12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row>
    <row r="6" spans="1:52" ht="32.25" customHeight="1">
      <c r="A6" s="172" t="s">
        <v>13</v>
      </c>
      <c r="B6" s="278" t="s">
        <v>23</v>
      </c>
      <c r="C6" s="122"/>
      <c r="D6" s="122"/>
      <c r="E6" s="122"/>
      <c r="F6" s="122"/>
      <c r="G6" s="122"/>
      <c r="H6" s="122"/>
      <c r="I6" s="122"/>
      <c r="J6" s="122"/>
      <c r="K6" s="122"/>
      <c r="L6" s="12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row>
    <row r="7" spans="1:52" ht="32.25" customHeight="1">
      <c r="A7" s="172" t="s">
        <v>13</v>
      </c>
      <c r="B7" s="278" t="s">
        <v>24</v>
      </c>
      <c r="C7" s="122"/>
      <c r="D7" s="122"/>
      <c r="E7" s="122"/>
      <c r="F7" s="122"/>
      <c r="G7" s="122"/>
      <c r="H7" s="122"/>
      <c r="I7" s="122"/>
      <c r="J7" s="122"/>
      <c r="K7" s="122"/>
      <c r="L7" s="12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row>
    <row r="8" spans="1:52" ht="32.25" customHeight="1">
      <c r="A8" s="172" t="s">
        <v>13</v>
      </c>
      <c r="B8" s="278" t="s">
        <v>25</v>
      </c>
      <c r="C8" s="122"/>
      <c r="D8" s="122"/>
      <c r="E8" s="122"/>
      <c r="F8" s="122"/>
      <c r="G8" s="122"/>
      <c r="H8" s="122"/>
      <c r="I8" s="122"/>
      <c r="J8" s="122"/>
      <c r="K8" s="122"/>
      <c r="L8" s="12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row>
    <row r="9" spans="1:52">
      <c r="A9" s="142"/>
      <c r="B9" s="147"/>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row>
    <row r="10" spans="1:52" ht="15.6">
      <c r="A10" s="129" t="s">
        <v>26</v>
      </c>
      <c r="B10" s="147"/>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row>
    <row r="11" spans="1:52" ht="32.25" customHeight="1">
      <c r="A11" s="128" t="s">
        <v>13</v>
      </c>
      <c r="B11" s="278" t="s">
        <v>27</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row>
    <row r="12" spans="1:52" ht="32.25" customHeight="1">
      <c r="A12" s="128" t="s">
        <v>13</v>
      </c>
      <c r="B12" s="279" t="s">
        <v>28</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row>
    <row r="13" spans="1:52" ht="32.25" customHeight="1">
      <c r="A13" s="128" t="s">
        <v>13</v>
      </c>
      <c r="B13" s="280" t="s">
        <v>29</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row>
    <row r="14" spans="1:52">
      <c r="A14" s="128"/>
      <c r="B14" s="147"/>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row>
    <row r="15" spans="1:52" ht="15.6">
      <c r="A15" s="129" t="s">
        <v>30</v>
      </c>
      <c r="B15" s="147"/>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row>
    <row r="16" spans="1:52" ht="32.25" customHeight="1">
      <c r="A16" s="128" t="s">
        <v>13</v>
      </c>
      <c r="B16" s="173" t="s">
        <v>31</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row>
    <row r="17" spans="1:52" ht="32.25" customHeight="1">
      <c r="A17" s="128" t="s">
        <v>13</v>
      </c>
      <c r="B17" s="173" t="s">
        <v>32</v>
      </c>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row>
    <row r="18" spans="1:52" ht="32.25" customHeight="1">
      <c r="A18" s="128" t="s">
        <v>13</v>
      </c>
      <c r="B18" s="173" t="s">
        <v>33</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row>
    <row r="19" spans="1:52">
      <c r="A19" s="142"/>
      <c r="B19" s="147"/>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row>
    <row r="20" spans="1:52" ht="15.6">
      <c r="A20" s="129" t="s">
        <v>34</v>
      </c>
      <c r="B20" s="147"/>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row>
    <row r="21" spans="1:52" ht="32.25" customHeight="1">
      <c r="A21" s="128" t="s">
        <v>13</v>
      </c>
      <c r="B21" s="278" t="s">
        <v>35</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row>
    <row r="22" spans="1:52" ht="32.25" customHeight="1">
      <c r="A22" s="128" t="s">
        <v>13</v>
      </c>
      <c r="B22" s="173" t="s">
        <v>36</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row>
    <row r="23" spans="1:52" ht="32.25" customHeight="1">
      <c r="A23" s="128" t="s">
        <v>13</v>
      </c>
      <c r="B23" s="173" t="s">
        <v>37</v>
      </c>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row>
    <row r="24" spans="1:52">
      <c r="A24" s="142"/>
      <c r="B24" s="147"/>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row>
    <row r="25" spans="1:52" ht="15.6">
      <c r="A25" s="129" t="s">
        <v>38</v>
      </c>
      <c r="B25" s="147"/>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row>
    <row r="26" spans="1:52" ht="32.25" customHeight="1">
      <c r="A26" s="128" t="s">
        <v>13</v>
      </c>
      <c r="B26" s="280" t="s">
        <v>39</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row>
    <row r="27" spans="1:52" ht="56.25" customHeight="1">
      <c r="A27" s="128" t="s">
        <v>13</v>
      </c>
      <c r="B27" s="284" t="s">
        <v>40</v>
      </c>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row>
    <row r="28" spans="1:52" ht="33" customHeight="1">
      <c r="A28" s="128" t="s">
        <v>13</v>
      </c>
      <c r="B28" s="281" t="s">
        <v>41</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row>
    <row r="29" spans="1:52" ht="33" customHeight="1">
      <c r="A29" s="128" t="s">
        <v>13</v>
      </c>
      <c r="B29" s="280" t="s">
        <v>42</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row>
    <row r="30" spans="1:52" ht="33" customHeight="1">
      <c r="A30" s="128" t="s">
        <v>13</v>
      </c>
      <c r="B30" s="279" t="s">
        <v>43</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row>
    <row r="31" spans="1:52" ht="33" customHeight="1">
      <c r="A31" s="128" t="s">
        <v>13</v>
      </c>
      <c r="B31" s="279" t="s">
        <v>44</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row>
    <row r="32" spans="1:52" ht="33" customHeight="1">
      <c r="A32" s="128" t="s">
        <v>13</v>
      </c>
      <c r="B32" s="173" t="s">
        <v>45</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row>
    <row r="33" spans="1:52" ht="33" customHeight="1">
      <c r="A33" s="128" t="s">
        <v>13</v>
      </c>
      <c r="B33" s="282" t="s">
        <v>46</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row>
    <row r="34" spans="1:52" ht="33" customHeight="1">
      <c r="A34" s="128" t="s">
        <v>13</v>
      </c>
      <c r="B34" s="279" t="s">
        <v>47</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row>
    <row r="35" spans="1:52" ht="33" customHeight="1">
      <c r="A35" s="128" t="s">
        <v>13</v>
      </c>
      <c r="B35" s="280" t="s">
        <v>48</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row>
    <row r="36" spans="1:52" ht="15.75" customHeight="1">
      <c r="A36" s="142"/>
      <c r="B36" s="147"/>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row>
    <row r="37" spans="1:52" ht="15.6">
      <c r="A37" s="129" t="s">
        <v>49</v>
      </c>
      <c r="B37" s="147"/>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row>
    <row r="38" spans="1:52" ht="64.5" customHeight="1">
      <c r="A38" s="128" t="s">
        <v>13</v>
      </c>
      <c r="B38" s="173" t="s">
        <v>50</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row>
    <row r="39" spans="1:52">
      <c r="A39" s="142"/>
      <c r="B39" s="147"/>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row>
    <row r="40" spans="1:52" ht="15.6">
      <c r="A40" s="129" t="s">
        <v>51</v>
      </c>
      <c r="B40" s="147"/>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row>
    <row r="41" spans="1:52" ht="15.75" customHeight="1">
      <c r="A41" s="128" t="s">
        <v>13</v>
      </c>
      <c r="B41" s="283" t="s">
        <v>52</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row>
    <row r="42" spans="1:52">
      <c r="A42" s="128" t="s">
        <v>13</v>
      </c>
      <c r="B42" s="147" t="s">
        <v>53</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row>
    <row r="43" spans="1:52">
      <c r="A43" s="128" t="s">
        <v>13</v>
      </c>
      <c r="B43" s="147" t="s">
        <v>54</v>
      </c>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row>
    <row r="44" spans="1:52">
      <c r="A44" s="128" t="s">
        <v>13</v>
      </c>
      <c r="B44" s="147" t="s">
        <v>55</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row>
    <row r="45" spans="1:52">
      <c r="A45" s="142"/>
      <c r="B45" s="147"/>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row>
    <row r="46" spans="1:52" ht="15.6">
      <c r="A46" s="129" t="s">
        <v>56</v>
      </c>
      <c r="B46" s="147"/>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row>
    <row r="47" spans="1:52" ht="63.75" customHeight="1">
      <c r="A47" s="128" t="s">
        <v>13</v>
      </c>
      <c r="B47" s="283" t="s">
        <v>57</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row>
    <row r="48" spans="1:52">
      <c r="A48" s="142"/>
      <c r="B48" s="147"/>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row>
    <row r="49" spans="1:52">
      <c r="A49" s="142"/>
      <c r="B49" s="147"/>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row>
    <row r="50" spans="1:52">
      <c r="A50" s="142"/>
      <c r="B50" s="147"/>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row>
    <row r="51" spans="1:52">
      <c r="A51" s="142"/>
      <c r="B51" s="147"/>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row>
    <row r="52" spans="1:52">
      <c r="A52" s="142"/>
      <c r="B52" s="147"/>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row>
    <row r="53" spans="1:52">
      <c r="A53" s="142"/>
      <c r="B53" s="147"/>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row>
    <row r="54" spans="1:52">
      <c r="A54" s="142"/>
      <c r="B54" s="147"/>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row>
    <row r="55" spans="1:52">
      <c r="A55" s="142"/>
      <c r="B55" s="147"/>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row>
    <row r="56" spans="1:52">
      <c r="A56" s="142"/>
      <c r="B56" s="147"/>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52">
      <c r="A57" s="142"/>
      <c r="B57" s="147"/>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row>
    <row r="58" spans="1:52">
      <c r="A58" s="142"/>
      <c r="B58" s="147"/>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row>
    <row r="59" spans="1:52">
      <c r="A59" s="142"/>
      <c r="B59" s="147"/>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row>
    <row r="60" spans="1:52">
      <c r="A60" s="142"/>
      <c r="B60" s="147"/>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row>
    <row r="61" spans="1:52">
      <c r="A61" s="142"/>
      <c r="B61" s="147"/>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row>
    <row r="62" spans="1:52">
      <c r="A62" s="142"/>
      <c r="B62" s="147"/>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row>
    <row r="63" spans="1:52">
      <c r="A63" s="142"/>
      <c r="B63" s="147"/>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row>
    <row r="64" spans="1:52">
      <c r="A64" s="142"/>
      <c r="B64" s="147"/>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row>
    <row r="65" spans="1:52">
      <c r="A65" s="142"/>
      <c r="B65" s="147"/>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row>
    <row r="66" spans="1:52">
      <c r="A66" s="142"/>
      <c r="B66" s="147"/>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row>
    <row r="67" spans="1:52">
      <c r="A67" s="142"/>
      <c r="B67" s="147"/>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row>
    <row r="68" spans="1:52">
      <c r="A68" s="142"/>
      <c r="B68" s="147"/>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row>
    <row r="69" spans="1:52">
      <c r="A69" s="142"/>
      <c r="B69" s="147"/>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row>
    <row r="70" spans="1:52">
      <c r="A70" s="142"/>
      <c r="B70" s="147"/>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row>
    <row r="71" spans="1:52">
      <c r="A71" s="142"/>
      <c r="B71" s="147"/>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row>
    <row r="72" spans="1:52">
      <c r="A72" s="142"/>
      <c r="B72" s="147"/>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row>
    <row r="73" spans="1:52">
      <c r="A73" s="142"/>
      <c r="B73" s="147"/>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row>
    <row r="74" spans="1:52">
      <c r="A74" s="142"/>
      <c r="B74" s="147"/>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row>
    <row r="75" spans="1:52">
      <c r="A75" s="142"/>
      <c r="B75" s="147"/>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row>
    <row r="76" spans="1:52">
      <c r="A76" s="142"/>
      <c r="B76" s="147"/>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row>
    <row r="77" spans="1:52">
      <c r="A77" s="142"/>
      <c r="B77" s="147"/>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row>
    <row r="78" spans="1:52">
      <c r="A78" s="142"/>
      <c r="B78" s="147"/>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row>
    <row r="79" spans="1:52">
      <c r="A79" s="142"/>
      <c r="B79" s="147"/>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row>
    <row r="80" spans="1:52">
      <c r="A80" s="142"/>
      <c r="B80" s="147"/>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row>
    <row r="81" spans="1:52">
      <c r="A81" s="142"/>
      <c r="B81" s="147"/>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row>
    <row r="82" spans="1:52">
      <c r="A82" s="142"/>
      <c r="B82" s="147"/>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row>
    <row r="83" spans="1:52">
      <c r="A83" s="142"/>
      <c r="B83" s="147"/>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row>
    <row r="84" spans="1:52">
      <c r="A84" s="142"/>
      <c r="B84" s="147"/>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row>
    <row r="85" spans="1:52">
      <c r="A85" s="142"/>
      <c r="B85" s="147"/>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row>
    <row r="86" spans="1:52">
      <c r="A86" s="142"/>
      <c r="B86" s="147"/>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row>
    <row r="87" spans="1:52">
      <c r="A87" s="142"/>
      <c r="B87" s="147"/>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row>
    <row r="88" spans="1:52">
      <c r="A88" s="142"/>
      <c r="B88" s="147"/>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row>
    <row r="89" spans="1:52">
      <c r="A89" s="142"/>
      <c r="B89" s="147"/>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row>
    <row r="90" spans="1:52">
      <c r="A90" s="142"/>
      <c r="B90" s="147"/>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row>
    <row r="91" spans="1:52">
      <c r="A91" s="142"/>
      <c r="B91" s="147"/>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row>
    <row r="92" spans="1:52">
      <c r="A92" s="142"/>
      <c r="B92" s="147"/>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row>
    <row r="93" spans="1:52">
      <c r="A93" s="142"/>
      <c r="B93" s="147"/>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row>
    <row r="94" spans="1:52">
      <c r="A94" s="142"/>
      <c r="B94" s="147"/>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row>
    <row r="95" spans="1:52">
      <c r="A95" s="142"/>
      <c r="B95" s="147"/>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row>
    <row r="96" spans="1:52">
      <c r="A96" s="142"/>
      <c r="B96" s="147"/>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row>
    <row r="97" spans="1:52">
      <c r="A97" s="142"/>
      <c r="B97" s="147"/>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row>
    <row r="98" spans="1:52">
      <c r="A98" s="142"/>
      <c r="B98" s="147"/>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row>
    <row r="99" spans="1:52">
      <c r="A99" s="142"/>
      <c r="B99" s="147"/>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row>
    <row r="100" spans="1:52">
      <c r="A100" s="142"/>
      <c r="B100" s="147"/>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row>
    <row r="101" spans="1:52">
      <c r="A101" s="142"/>
      <c r="B101" s="147"/>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row>
    <row r="102" spans="1:52">
      <c r="A102" s="142"/>
      <c r="B102" s="147"/>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row>
    <row r="103" spans="1:52">
      <c r="A103" s="142"/>
      <c r="B103" s="147"/>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row>
    <row r="104" spans="1:52">
      <c r="A104" s="142"/>
      <c r="B104" s="147"/>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row>
    <row r="105" spans="1:52">
      <c r="A105" s="142"/>
      <c r="B105" s="147"/>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row>
    <row r="106" spans="1:52">
      <c r="A106" s="142"/>
      <c r="B106" s="147"/>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row>
    <row r="107" spans="1:52">
      <c r="A107" s="142"/>
      <c r="B107" s="147"/>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row>
    <row r="108" spans="1:52">
      <c r="A108" s="142"/>
      <c r="B108" s="147"/>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row>
    <row r="109" spans="1:52">
      <c r="A109" s="142"/>
      <c r="B109" s="147"/>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row>
    <row r="110" spans="1:52">
      <c r="A110" s="142"/>
      <c r="B110" s="147"/>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row>
    <row r="111" spans="1:52">
      <c r="A111" s="142"/>
      <c r="B111" s="147"/>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row>
    <row r="112" spans="1:52">
      <c r="A112" s="142"/>
      <c r="B112" s="147"/>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row>
    <row r="113" spans="1:52">
      <c r="A113" s="142"/>
      <c r="B113" s="147"/>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row>
    <row r="114" spans="1:52">
      <c r="A114" s="142"/>
      <c r="B114" s="147"/>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row>
    <row r="115" spans="1:52">
      <c r="A115" s="142"/>
      <c r="B115" s="147"/>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row>
    <row r="116" spans="1:52">
      <c r="A116" s="142"/>
      <c r="B116" s="147"/>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row>
    <row r="117" spans="1:52">
      <c r="A117" s="142"/>
      <c r="B117" s="147"/>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row>
    <row r="118" spans="1:52">
      <c r="A118" s="142"/>
      <c r="B118" s="147"/>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row>
    <row r="119" spans="1:52">
      <c r="A119" s="142"/>
      <c r="B119" s="147"/>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row>
    <row r="120" spans="1:52">
      <c r="A120" s="142"/>
      <c r="B120" s="147"/>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row>
    <row r="121" spans="1:52">
      <c r="A121" s="142"/>
      <c r="B121" s="147"/>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row>
    <row r="122" spans="1:52">
      <c r="A122" s="142"/>
      <c r="B122" s="147"/>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row>
    <row r="123" spans="1:52">
      <c r="A123" s="142"/>
      <c r="B123" s="147"/>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row>
    <row r="124" spans="1:52">
      <c r="A124" s="142"/>
      <c r="B124" s="147"/>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row>
    <row r="125" spans="1:52">
      <c r="A125" s="142"/>
      <c r="B125" s="147"/>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row>
    <row r="126" spans="1:52">
      <c r="A126" s="142"/>
      <c r="B126" s="147"/>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row>
    <row r="127" spans="1:52">
      <c r="A127" s="142"/>
      <c r="B127" s="147"/>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row>
    <row r="128" spans="1:52">
      <c r="A128" s="142"/>
      <c r="B128" s="147"/>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row>
    <row r="129" spans="1:52">
      <c r="A129" s="142"/>
      <c r="B129" s="147"/>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row>
    <row r="130" spans="1:52">
      <c r="A130" s="142"/>
      <c r="B130" s="147"/>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row>
    <row r="131" spans="1:52">
      <c r="A131" s="142"/>
      <c r="B131" s="147"/>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row>
    <row r="132" spans="1:52">
      <c r="A132" s="142"/>
      <c r="B132" s="147"/>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row>
    <row r="133" spans="1:52">
      <c r="A133" s="142"/>
      <c r="B133" s="147"/>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row>
    <row r="134" spans="1:52">
      <c r="A134" s="142"/>
      <c r="B134" s="147"/>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row>
    <row r="135" spans="1:52">
      <c r="A135" s="142"/>
      <c r="B135" s="147"/>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row>
    <row r="136" spans="1:52">
      <c r="A136" s="142"/>
      <c r="B136" s="147"/>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row>
    <row r="137" spans="1:52">
      <c r="A137" s="142"/>
      <c r="B137" s="147"/>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row>
    <row r="138" spans="1:52">
      <c r="A138" s="142"/>
      <c r="B138" s="147"/>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row>
    <row r="139" spans="1:52">
      <c r="A139" s="142"/>
      <c r="B139" s="147"/>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row>
    <row r="140" spans="1:52">
      <c r="A140" s="142"/>
      <c r="B140" s="147"/>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row>
    <row r="141" spans="1:52">
      <c r="A141" s="142"/>
      <c r="B141" s="147"/>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row>
    <row r="142" spans="1:52">
      <c r="A142" s="142"/>
      <c r="B142" s="147"/>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row>
    <row r="143" spans="1:52">
      <c r="A143" s="142"/>
      <c r="B143" s="147"/>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row>
    <row r="144" spans="1:52">
      <c r="A144" s="142"/>
      <c r="B144" s="147"/>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row>
    <row r="145" spans="1:52">
      <c r="A145" s="142"/>
      <c r="B145" s="147"/>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row>
    <row r="146" spans="1:52">
      <c r="A146" s="142"/>
      <c r="B146" s="147"/>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row>
    <row r="147" spans="1:52">
      <c r="A147" s="142"/>
      <c r="B147" s="147"/>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row>
    <row r="148" spans="1:52">
      <c r="A148" s="142"/>
      <c r="B148" s="147"/>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row>
    <row r="149" spans="1:52">
      <c r="A149" s="142"/>
      <c r="B149" s="147"/>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row>
    <row r="150" spans="1:52">
      <c r="A150" s="142"/>
      <c r="B150" s="147"/>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row>
  </sheetData>
  <sheetProtection algorithmName="SHA-512" hashValue="C/K3ucERuFALNMKuQnNpHFckM/Me4bpcn7uUDKX/ShkrOHdkQiPfBf1isQJW/CnvwUZfVkQX07y+stywRd5PRQ==" saltValue="XYG78xlvFA22k3VHJJ3bHA==" spinCount="100000" sheet="1" autoFilter="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6631-90DB-4C47-A12B-4EACBA8EBFED}">
  <dimension ref="A1:AZ156"/>
  <sheetViews>
    <sheetView zoomScaleNormal="100" workbookViewId="0">
      <selection activeCell="A9" sqref="A9"/>
    </sheetView>
  </sheetViews>
  <sheetFormatPr defaultColWidth="9.140625" defaultRowHeight="14.45"/>
  <cols>
    <col min="1" max="1" width="56.42578125" style="56" customWidth="1"/>
    <col min="2" max="2" width="23.42578125" style="56" bestFit="1" customWidth="1"/>
    <col min="3" max="3" width="9.140625" style="56"/>
    <col min="4" max="4" width="20.5703125" style="217" bestFit="1" customWidth="1"/>
    <col min="5" max="5" width="12.140625" style="56" bestFit="1" customWidth="1"/>
    <col min="6" max="6" width="28.85546875" style="56" customWidth="1"/>
    <col min="7" max="7" width="24.28515625" style="56" customWidth="1"/>
    <col min="8" max="33" width="9.140625" style="56"/>
    <col min="48" max="16384" width="9.140625" style="56"/>
  </cols>
  <sheetData>
    <row r="1" spans="1:52" s="188" customFormat="1" ht="18.600000000000001">
      <c r="A1" s="118" t="s">
        <v>58</v>
      </c>
      <c r="B1" s="183"/>
      <c r="C1" s="183"/>
      <c r="D1" s="184"/>
      <c r="E1" s="185"/>
      <c r="F1" s="185"/>
      <c r="G1" s="185"/>
      <c r="H1" s="185"/>
      <c r="I1" s="186"/>
      <c r="J1" s="187">
        <f t="shared" ref="J1:S1" si="0">INDEX($E:$E,MATCH(J$5,$D:$D,0))</f>
        <v>5.25</v>
      </c>
      <c r="K1" s="187">
        <f t="shared" si="0"/>
        <v>0.08</v>
      </c>
      <c r="L1" s="187">
        <f t="shared" si="0"/>
        <v>93.19</v>
      </c>
      <c r="M1" s="187">
        <f t="shared" si="0"/>
        <v>0</v>
      </c>
      <c r="N1" s="187">
        <f t="shared" si="0"/>
        <v>0</v>
      </c>
      <c r="O1" s="187">
        <f t="shared" si="0"/>
        <v>0</v>
      </c>
      <c r="P1" s="187">
        <f t="shared" si="0"/>
        <v>0</v>
      </c>
      <c r="Q1" s="187">
        <f t="shared" si="0"/>
        <v>0</v>
      </c>
      <c r="R1" s="187">
        <f t="shared" si="0"/>
        <v>0</v>
      </c>
      <c r="S1" s="187">
        <f t="shared" si="0"/>
        <v>0</v>
      </c>
      <c r="T1" s="185"/>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row>
    <row r="2" spans="1:52">
      <c r="A2" s="189"/>
      <c r="B2" s="189"/>
      <c r="C2" s="189"/>
      <c r="D2" s="190"/>
      <c r="E2" s="189"/>
      <c r="F2" s="189"/>
      <c r="G2" s="189"/>
      <c r="H2" s="189"/>
      <c r="I2" s="191"/>
      <c r="J2" s="187" t="str">
        <f t="shared" ref="J2:S2" si="1">INDEX($F:$F,MATCH(J$5,$D:$D,0))</f>
        <v>Actively Eroding: hagg gully</v>
      </c>
      <c r="K2" s="187" t="str">
        <f t="shared" si="1"/>
        <v>Actively Eroding: Flat Bare</v>
      </c>
      <c r="L2" s="187" t="str">
        <f t="shared" si="1"/>
        <v>Drained: Hagg/Gully</v>
      </c>
      <c r="M2" s="187">
        <f t="shared" si="1"/>
        <v>0</v>
      </c>
      <c r="N2" s="187">
        <f t="shared" si="1"/>
        <v>0</v>
      </c>
      <c r="O2" s="187">
        <f t="shared" si="1"/>
        <v>0</v>
      </c>
      <c r="P2" s="187">
        <f t="shared" si="1"/>
        <v>0</v>
      </c>
      <c r="Q2" s="187">
        <f t="shared" si="1"/>
        <v>0</v>
      </c>
      <c r="R2" s="187">
        <f t="shared" si="1"/>
        <v>0</v>
      </c>
      <c r="S2" s="187">
        <f t="shared" si="1"/>
        <v>0</v>
      </c>
      <c r="T2" s="189"/>
      <c r="U2" s="189"/>
      <c r="V2" s="189"/>
      <c r="W2" s="189"/>
      <c r="X2" s="189"/>
      <c r="Y2" s="189"/>
      <c r="Z2" s="189"/>
      <c r="AA2" s="189"/>
      <c r="AB2" s="189"/>
      <c r="AC2" s="189"/>
      <c r="AD2" s="189"/>
      <c r="AE2" s="189"/>
      <c r="AF2" s="189"/>
      <c r="AG2" s="189"/>
      <c r="AH2" s="142"/>
      <c r="AI2" s="142"/>
      <c r="AJ2" s="142"/>
      <c r="AK2" s="142"/>
      <c r="AL2" s="142"/>
      <c r="AM2" s="142"/>
      <c r="AN2" s="142"/>
      <c r="AO2" s="142"/>
      <c r="AP2" s="142"/>
      <c r="AQ2" s="142"/>
      <c r="AR2" s="142"/>
      <c r="AS2" s="142"/>
      <c r="AT2" s="142"/>
      <c r="AU2" s="142"/>
      <c r="AV2" s="189"/>
      <c r="AW2" s="189"/>
      <c r="AX2" s="189"/>
      <c r="AY2" s="189"/>
      <c r="AZ2" s="189"/>
    </row>
    <row r="3" spans="1:52" s="195" customFormat="1" ht="15.6">
      <c r="A3" s="129" t="s">
        <v>59</v>
      </c>
      <c r="B3" s="192"/>
      <c r="C3" s="192"/>
      <c r="D3" s="193" t="s">
        <v>60</v>
      </c>
      <c r="E3" s="194"/>
      <c r="F3" s="194"/>
      <c r="G3" s="194"/>
      <c r="H3" s="194"/>
      <c r="I3" s="129" t="s">
        <v>61</v>
      </c>
      <c r="J3" s="187" t="str">
        <f t="shared" ref="J3:S3" si="2">INDEX($G:$G,MATCH(J$5,$D:$D,0))</f>
        <v>Revegetated</v>
      </c>
      <c r="K3" s="187" t="str">
        <f t="shared" si="2"/>
        <v>Revegetated</v>
      </c>
      <c r="L3" s="187" t="str">
        <f t="shared" si="2"/>
        <v>Rewetted Modified Bog</v>
      </c>
      <c r="M3" s="187">
        <f t="shared" si="2"/>
        <v>0</v>
      </c>
      <c r="N3" s="187">
        <f t="shared" si="2"/>
        <v>0</v>
      </c>
      <c r="O3" s="187">
        <f t="shared" si="2"/>
        <v>0</v>
      </c>
      <c r="P3" s="187">
        <f t="shared" si="2"/>
        <v>0</v>
      </c>
      <c r="Q3" s="187">
        <f t="shared" si="2"/>
        <v>0</v>
      </c>
      <c r="R3" s="187">
        <f t="shared" si="2"/>
        <v>0</v>
      </c>
      <c r="S3" s="187">
        <f t="shared" si="2"/>
        <v>0</v>
      </c>
      <c r="T3" s="194"/>
      <c r="U3" s="129" t="s">
        <v>62</v>
      </c>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row>
    <row r="4" spans="1:52" ht="15" customHeight="1">
      <c r="A4" s="196" t="s">
        <v>63</v>
      </c>
      <c r="B4" s="130" t="s">
        <v>64</v>
      </c>
      <c r="C4" s="189"/>
      <c r="D4" s="295" t="s">
        <v>65</v>
      </c>
      <c r="E4" s="295" t="s">
        <v>66</v>
      </c>
      <c r="F4" s="295" t="s">
        <v>67</v>
      </c>
      <c r="G4" s="295" t="s">
        <v>68</v>
      </c>
      <c r="H4" s="189"/>
      <c r="I4" s="295" t="s">
        <v>69</v>
      </c>
      <c r="J4" s="298" t="s">
        <v>70</v>
      </c>
      <c r="K4" s="298"/>
      <c r="L4" s="298"/>
      <c r="M4" s="298"/>
      <c r="N4" s="298"/>
      <c r="O4" s="298"/>
      <c r="P4" s="298"/>
      <c r="Q4" s="298"/>
      <c r="R4" s="298"/>
      <c r="S4" s="298"/>
      <c r="T4" s="189"/>
      <c r="U4" s="295" t="s">
        <v>69</v>
      </c>
      <c r="V4" s="298" t="s">
        <v>71</v>
      </c>
      <c r="W4" s="298"/>
      <c r="X4" s="298"/>
      <c r="Y4" s="298"/>
      <c r="Z4" s="298"/>
      <c r="AA4" s="298"/>
      <c r="AB4" s="298"/>
      <c r="AC4" s="298"/>
      <c r="AD4" s="298"/>
      <c r="AE4" s="298"/>
      <c r="AF4" s="299"/>
      <c r="AG4" s="189"/>
      <c r="AH4" s="142"/>
      <c r="AI4" s="142"/>
      <c r="AJ4" s="142"/>
      <c r="AK4" s="142"/>
      <c r="AL4" s="142"/>
      <c r="AM4" s="142"/>
      <c r="AN4" s="142"/>
      <c r="AO4" s="142"/>
      <c r="AP4" s="142"/>
      <c r="AQ4" s="142"/>
      <c r="AR4" s="142"/>
      <c r="AS4" s="142"/>
      <c r="AT4" s="142"/>
      <c r="AU4" s="142"/>
      <c r="AV4" s="189"/>
      <c r="AW4" s="189"/>
      <c r="AX4" s="189"/>
      <c r="AY4" s="189"/>
      <c r="AZ4" s="189"/>
    </row>
    <row r="5" spans="1:52" s="202" customFormat="1" ht="29.1">
      <c r="A5" s="198" t="s">
        <v>72</v>
      </c>
      <c r="B5" s="130"/>
      <c r="C5" s="199"/>
      <c r="D5" s="300"/>
      <c r="E5" s="300"/>
      <c r="F5" s="300"/>
      <c r="G5" s="300"/>
      <c r="H5" s="199"/>
      <c r="I5" s="296"/>
      <c r="J5" s="301" t="s">
        <v>73</v>
      </c>
      <c r="K5" s="301" t="s">
        <v>74</v>
      </c>
      <c r="L5" s="301" t="s">
        <v>75</v>
      </c>
      <c r="M5" s="301" t="s">
        <v>76</v>
      </c>
      <c r="N5" s="301" t="s">
        <v>77</v>
      </c>
      <c r="O5" s="301" t="s">
        <v>78</v>
      </c>
      <c r="P5" s="301" t="s">
        <v>79</v>
      </c>
      <c r="Q5" s="301" t="s">
        <v>80</v>
      </c>
      <c r="R5" s="301" t="s">
        <v>81</v>
      </c>
      <c r="S5" s="301" t="s">
        <v>82</v>
      </c>
      <c r="T5" s="199"/>
      <c r="U5" s="296"/>
      <c r="V5" s="200" t="s">
        <v>73</v>
      </c>
      <c r="W5" s="197" t="s">
        <v>74</v>
      </c>
      <c r="X5" s="197" t="s">
        <v>75</v>
      </c>
      <c r="Y5" s="197" t="s">
        <v>76</v>
      </c>
      <c r="Z5" s="197" t="s">
        <v>77</v>
      </c>
      <c r="AA5" s="197" t="s">
        <v>78</v>
      </c>
      <c r="AB5" s="197" t="s">
        <v>79</v>
      </c>
      <c r="AC5" s="197" t="s">
        <v>80</v>
      </c>
      <c r="AD5" s="197" t="s">
        <v>81</v>
      </c>
      <c r="AE5" s="197" t="s">
        <v>82</v>
      </c>
      <c r="AF5" s="201" t="s">
        <v>83</v>
      </c>
      <c r="AG5" s="199"/>
      <c r="AH5" s="199"/>
      <c r="AI5" s="199"/>
      <c r="AJ5" s="199"/>
      <c r="AK5" s="199"/>
      <c r="AL5" s="199"/>
      <c r="AM5" s="199"/>
      <c r="AN5" s="199"/>
      <c r="AO5" s="199"/>
      <c r="AP5" s="199"/>
      <c r="AQ5" s="199"/>
      <c r="AR5" s="199"/>
      <c r="AS5" s="199"/>
      <c r="AT5" s="199"/>
      <c r="AU5" s="199"/>
      <c r="AV5" s="199"/>
      <c r="AW5" s="199"/>
      <c r="AX5" s="199"/>
      <c r="AY5" s="199"/>
      <c r="AZ5" s="199"/>
    </row>
    <row r="6" spans="1:52" s="202" customFormat="1">
      <c r="A6" s="196" t="s">
        <v>84</v>
      </c>
      <c r="B6" s="130"/>
      <c r="C6" s="199"/>
      <c r="D6" s="203" t="s">
        <v>73</v>
      </c>
      <c r="E6" s="131">
        <v>5.25</v>
      </c>
      <c r="F6" s="132" t="s">
        <v>85</v>
      </c>
      <c r="G6" s="133" t="s">
        <v>86</v>
      </c>
      <c r="H6" s="199"/>
      <c r="I6" s="297"/>
      <c r="J6" s="302"/>
      <c r="K6" s="302"/>
      <c r="L6" s="302"/>
      <c r="M6" s="302"/>
      <c r="N6" s="302"/>
      <c r="O6" s="302"/>
      <c r="P6" s="302"/>
      <c r="Q6" s="302"/>
      <c r="R6" s="302"/>
      <c r="S6" s="302"/>
      <c r="T6" s="199"/>
      <c r="U6" s="297"/>
      <c r="V6" s="200">
        <f>E6</f>
        <v>5.25</v>
      </c>
      <c r="W6" s="197">
        <f>E7</f>
        <v>0.08</v>
      </c>
      <c r="X6" s="197">
        <f>E8</f>
        <v>93.19</v>
      </c>
      <c r="Y6" s="197">
        <f>E9</f>
        <v>0</v>
      </c>
      <c r="Z6" s="197">
        <f>E10</f>
        <v>0</v>
      </c>
      <c r="AA6" s="197">
        <f>E11</f>
        <v>0</v>
      </c>
      <c r="AB6" s="197">
        <f>E12</f>
        <v>0</v>
      </c>
      <c r="AC6" s="197">
        <f>E13</f>
        <v>0</v>
      </c>
      <c r="AD6" s="197">
        <f>E14</f>
        <v>0</v>
      </c>
      <c r="AE6" s="197">
        <f>E15</f>
        <v>0</v>
      </c>
      <c r="AF6" s="201">
        <f>SUM(V6:AE6)</f>
        <v>98.52</v>
      </c>
      <c r="AG6" s="199"/>
      <c r="AH6" s="199"/>
      <c r="AI6" s="199"/>
      <c r="AJ6" s="199"/>
      <c r="AK6" s="199"/>
      <c r="AL6" s="199"/>
      <c r="AM6" s="199"/>
      <c r="AN6" s="199"/>
      <c r="AO6" s="199"/>
      <c r="AP6" s="199"/>
      <c r="AQ6" s="199"/>
      <c r="AR6" s="199"/>
      <c r="AS6" s="199"/>
      <c r="AT6" s="199"/>
      <c r="AU6" s="199"/>
      <c r="AV6" s="199"/>
      <c r="AW6" s="199"/>
      <c r="AX6" s="199"/>
      <c r="AY6" s="199"/>
      <c r="AZ6" s="199"/>
    </row>
    <row r="7" spans="1:52" ht="14.45" customHeight="1">
      <c r="A7" s="204" t="s">
        <v>87</v>
      </c>
      <c r="B7" s="134">
        <v>45413</v>
      </c>
      <c r="C7" s="189"/>
      <c r="D7" s="203" t="s">
        <v>74</v>
      </c>
      <c r="E7" s="131">
        <v>0.08</v>
      </c>
      <c r="F7" s="132" t="s">
        <v>88</v>
      </c>
      <c r="G7" s="133" t="s">
        <v>86</v>
      </c>
      <c r="H7" s="189"/>
      <c r="I7" s="205" t="s">
        <v>89</v>
      </c>
      <c r="J7" s="206" cm="1">
        <f t="array" ref="J7">IFERROR(INDEX('Emissions Lookup Table'!$F:$F,MATCH(1,($I7='Emissions Lookup Table'!$A:$A)*(' Emissions Calculator'!J$2='Emissions Lookup Table'!$B:$B),0)),0)</f>
        <v>71.5</v>
      </c>
      <c r="K7" s="206">
        <f t="array" ref="K7">IFERROR(INDEX('Emissions Lookup Table'!$F:$F,MATCH(1,($I7='Emissions Lookup Table'!$A:$A)*(' Emissions Calculator'!K$2='Emissions Lookup Table'!$B:$B),0)),0)</f>
        <v>71.5</v>
      </c>
      <c r="L7" s="206">
        <f t="array" ref="L7">IFERROR(INDEX('Emissions Lookup Table'!$F:$F,MATCH(1,($I7='Emissions Lookup Table'!$A:$A)*(' Emissions Calculator'!L$2='Emissions Lookup Table'!$B:$B),0)),0)</f>
        <v>10.95</v>
      </c>
      <c r="M7" s="206">
        <f t="array" ref="M7">IFERROR(INDEX('Emissions Lookup Table'!$F:$F,MATCH(1,($I7='Emissions Lookup Table'!$A:$A)*(' Emissions Calculator'!M$2='Emissions Lookup Table'!$B:$B),0)),0)</f>
        <v>0</v>
      </c>
      <c r="N7" s="206">
        <f t="array" ref="N7">IFERROR(INDEX('Emissions Lookup Table'!$F:$F,MATCH(1,($I7='Emissions Lookup Table'!$A:$A)*(' Emissions Calculator'!N$2='Emissions Lookup Table'!$B:$B),0)),0)</f>
        <v>0</v>
      </c>
      <c r="O7" s="206">
        <f t="array" ref="O7">IFERROR(INDEX('Emissions Lookup Table'!$F:$F,MATCH(1,($I7='Emissions Lookup Table'!$A:$A)*(' Emissions Calculator'!O$2='Emissions Lookup Table'!$B:$B),0)),0)</f>
        <v>0</v>
      </c>
      <c r="P7" s="206">
        <f t="array" ref="P7">IFERROR(INDEX('Emissions Lookup Table'!$F:$F,MATCH(1,($I7='Emissions Lookup Table'!$A:$A)*(' Emissions Calculator'!P$2='Emissions Lookup Table'!$B:$B),0)),0)</f>
        <v>0</v>
      </c>
      <c r="Q7" s="206">
        <f t="array" ref="Q7">IFERROR(INDEX('Emissions Lookup Table'!$F:$F,MATCH(1,($I7='Emissions Lookup Table'!$A:$A)*(' Emissions Calculator'!Q$2='Emissions Lookup Table'!$B:$B),0)),0)</f>
        <v>0</v>
      </c>
      <c r="R7" s="206">
        <f t="array" ref="R7">IFERROR(INDEX('Emissions Lookup Table'!$F:$F,MATCH(1,($I7='Emissions Lookup Table'!$A:$A)*(' Emissions Calculator'!R$2='Emissions Lookup Table'!$B:$B),0)),0)</f>
        <v>0</v>
      </c>
      <c r="S7" s="206">
        <f t="array" ref="S7">IFERROR(INDEX('Emissions Lookup Table'!$F:$F,MATCH(1,($I7='Emissions Lookup Table'!$A:$A)*(' Emissions Calculator'!S$2='Emissions Lookup Table'!$B:$B),0)),0)</f>
        <v>0</v>
      </c>
      <c r="T7" s="189"/>
      <c r="U7" s="205" t="s">
        <v>89</v>
      </c>
      <c r="V7" s="207">
        <f t="shared" ref="V7:V26" si="3">V$6*J7</f>
        <v>375.375</v>
      </c>
      <c r="W7" s="207">
        <f t="shared" ref="W7:W26" si="4">W$6*K7</f>
        <v>5.72</v>
      </c>
      <c r="X7" s="207">
        <f t="shared" ref="X7:X26" si="5">X$6*L7</f>
        <v>1020.4304999999999</v>
      </c>
      <c r="Y7" s="207">
        <f t="shared" ref="Y7:Y26" si="6">Y$6*M7</f>
        <v>0</v>
      </c>
      <c r="Z7" s="207">
        <f t="shared" ref="Z7:Z26" si="7">Z$6*N7</f>
        <v>0</v>
      </c>
      <c r="AA7" s="207">
        <f t="shared" ref="AA7:AA26" si="8">AA$6*O7</f>
        <v>0</v>
      </c>
      <c r="AB7" s="207">
        <f t="shared" ref="AB7:AB26" si="9">AB$6*P7</f>
        <v>0</v>
      </c>
      <c r="AC7" s="207">
        <f t="shared" ref="AC7:AC26" si="10">AC$6*Q7</f>
        <v>0</v>
      </c>
      <c r="AD7" s="207">
        <f t="shared" ref="AD7:AD26" si="11">AD$6*R7</f>
        <v>0</v>
      </c>
      <c r="AE7" s="207">
        <f t="shared" ref="AE7:AE26" si="12">AE$6*S7</f>
        <v>0</v>
      </c>
      <c r="AF7" s="189"/>
      <c r="AG7" s="189"/>
      <c r="AH7" s="142"/>
      <c r="AI7" s="142"/>
      <c r="AJ7" s="142"/>
      <c r="AK7" s="142"/>
      <c r="AL7" s="142"/>
      <c r="AM7" s="142"/>
      <c r="AN7" s="142"/>
      <c r="AO7" s="142"/>
      <c r="AP7" s="142"/>
      <c r="AQ7" s="142"/>
      <c r="AR7" s="142"/>
      <c r="AS7" s="142"/>
      <c r="AT7" s="142"/>
      <c r="AU7" s="142"/>
      <c r="AV7" s="189"/>
      <c r="AW7" s="189"/>
      <c r="AX7" s="189"/>
      <c r="AY7" s="189"/>
      <c r="AZ7" s="189"/>
    </row>
    <row r="8" spans="1:52">
      <c r="A8" s="208" t="s">
        <v>90</v>
      </c>
      <c r="B8" s="130">
        <v>100</v>
      </c>
      <c r="C8" s="189"/>
      <c r="D8" s="203" t="s">
        <v>75</v>
      </c>
      <c r="E8" s="131">
        <v>93.19</v>
      </c>
      <c r="F8" s="132" t="s">
        <v>91</v>
      </c>
      <c r="G8" s="133" t="s">
        <v>92</v>
      </c>
      <c r="H8" s="189"/>
      <c r="I8" s="205" t="s">
        <v>93</v>
      </c>
      <c r="J8" s="206" cm="1">
        <f t="array" ref="J8">IFERROR(INDEX('Emissions Lookup Table'!$F:$F,MATCH(1,($I8='Emissions Lookup Table'!$A:$A)*(' Emissions Calculator'!J$2='Emissions Lookup Table'!$B:$B),0)),0)</f>
        <v>143</v>
      </c>
      <c r="K8" s="206">
        <f t="array" ref="K8">IFERROR(INDEX('Emissions Lookup Table'!$F:$F,MATCH(1,($I8='Emissions Lookup Table'!$A:$A)*(' Emissions Calculator'!K$2='Emissions Lookup Table'!$B:$B),0)),0)</f>
        <v>143</v>
      </c>
      <c r="L8" s="206">
        <f t="array" ref="L8">IFERROR(INDEX('Emissions Lookup Table'!$F:$F,MATCH(1,($I8='Emissions Lookup Table'!$A:$A)*(' Emissions Calculator'!L$2='Emissions Lookup Table'!$B:$B),0)),0)</f>
        <v>21.9</v>
      </c>
      <c r="M8" s="206">
        <f t="array" ref="M8">IFERROR(INDEX('Emissions Lookup Table'!$F:$F,MATCH(1,($I8='Emissions Lookup Table'!$A:$A)*(' Emissions Calculator'!M$2='Emissions Lookup Table'!$B:$B),0)),0)</f>
        <v>0</v>
      </c>
      <c r="N8" s="206">
        <f t="array" ref="N8">IFERROR(INDEX('Emissions Lookup Table'!$F:$F,MATCH(1,($I8='Emissions Lookup Table'!$A:$A)*(' Emissions Calculator'!N$2='Emissions Lookup Table'!$B:$B),0)),0)</f>
        <v>0</v>
      </c>
      <c r="O8" s="206">
        <f t="array" ref="O8">IFERROR(INDEX('Emissions Lookup Table'!$F:$F,MATCH(1,($I8='Emissions Lookup Table'!$A:$A)*(' Emissions Calculator'!O$2='Emissions Lookup Table'!$B:$B),0)),0)</f>
        <v>0</v>
      </c>
      <c r="P8" s="206">
        <f t="array" ref="P8">IFERROR(INDEX('Emissions Lookup Table'!$F:$F,MATCH(1,($I8='Emissions Lookup Table'!$A:$A)*(' Emissions Calculator'!P$2='Emissions Lookup Table'!$B:$B),0)),0)</f>
        <v>0</v>
      </c>
      <c r="Q8" s="206">
        <f t="array" ref="Q8">IFERROR(INDEX('Emissions Lookup Table'!$F:$F,MATCH(1,($I8='Emissions Lookup Table'!$A:$A)*(' Emissions Calculator'!Q$2='Emissions Lookup Table'!$B:$B),0)),0)</f>
        <v>0</v>
      </c>
      <c r="R8" s="206">
        <f t="array" ref="R8">IFERROR(INDEX('Emissions Lookup Table'!$F:$F,MATCH(1,($I8='Emissions Lookup Table'!$A:$A)*(' Emissions Calculator'!R$2='Emissions Lookup Table'!$B:$B),0)),0)</f>
        <v>0</v>
      </c>
      <c r="S8" s="206">
        <f t="array" ref="S8">IFERROR(INDEX('Emissions Lookup Table'!$F:$F,MATCH(1,($I8='Emissions Lookup Table'!$A:$A)*(' Emissions Calculator'!S$2='Emissions Lookup Table'!$B:$B),0)),0)</f>
        <v>0</v>
      </c>
      <c r="T8" s="189"/>
      <c r="U8" s="205" t="s">
        <v>93</v>
      </c>
      <c r="V8" s="207">
        <f t="shared" si="3"/>
        <v>750.75</v>
      </c>
      <c r="W8" s="207">
        <f t="shared" si="4"/>
        <v>11.44</v>
      </c>
      <c r="X8" s="207">
        <f t="shared" si="5"/>
        <v>2040.8609999999999</v>
      </c>
      <c r="Y8" s="207">
        <f t="shared" si="6"/>
        <v>0</v>
      </c>
      <c r="Z8" s="207">
        <f t="shared" si="7"/>
        <v>0</v>
      </c>
      <c r="AA8" s="207">
        <f t="shared" si="8"/>
        <v>0</v>
      </c>
      <c r="AB8" s="207">
        <f t="shared" si="9"/>
        <v>0</v>
      </c>
      <c r="AC8" s="207">
        <f t="shared" si="10"/>
        <v>0</v>
      </c>
      <c r="AD8" s="207">
        <f t="shared" si="11"/>
        <v>0</v>
      </c>
      <c r="AE8" s="207">
        <f t="shared" si="12"/>
        <v>0</v>
      </c>
      <c r="AF8" s="189"/>
      <c r="AG8" s="189"/>
      <c r="AH8" s="142"/>
      <c r="AI8" s="142"/>
      <c r="AJ8" s="142"/>
      <c r="AK8" s="142"/>
      <c r="AL8" s="142"/>
      <c r="AM8" s="142"/>
      <c r="AN8" s="142"/>
      <c r="AO8" s="142"/>
      <c r="AP8" s="142"/>
      <c r="AQ8" s="142"/>
      <c r="AR8" s="142"/>
      <c r="AS8" s="142"/>
      <c r="AT8" s="142"/>
      <c r="AU8" s="142"/>
      <c r="AV8" s="189"/>
      <c r="AW8" s="189"/>
      <c r="AX8" s="189"/>
      <c r="AY8" s="189"/>
      <c r="AZ8" s="189"/>
    </row>
    <row r="9" spans="1:52">
      <c r="A9" s="208" t="s">
        <v>94</v>
      </c>
      <c r="B9" s="130"/>
      <c r="C9" s="189"/>
      <c r="D9" s="203" t="s">
        <v>76</v>
      </c>
      <c r="E9" s="135"/>
      <c r="F9" s="133"/>
      <c r="G9" s="133"/>
      <c r="H9" s="189"/>
      <c r="I9" s="205" t="s">
        <v>95</v>
      </c>
      <c r="J9" s="206">
        <f t="array" ref="J9">IFERROR(INDEX('Emissions Lookup Table'!$F:$F,MATCH(1,($I9='Emissions Lookup Table'!$A:$A)*(' Emissions Calculator'!J$2='Emissions Lookup Table'!$B:$B),0)),0)</f>
        <v>214.49999999999994</v>
      </c>
      <c r="K9" s="206">
        <f t="array" ref="K9">IFERROR(INDEX('Emissions Lookup Table'!$F:$F,MATCH(1,($I9='Emissions Lookup Table'!$A:$A)*(' Emissions Calculator'!K$2='Emissions Lookup Table'!$B:$B),0)),0)</f>
        <v>214.49999999999994</v>
      </c>
      <c r="L9" s="206">
        <f t="array" ref="L9">IFERROR(INDEX('Emissions Lookup Table'!$F:$F,MATCH(1,($I9='Emissions Lookup Table'!$A:$A)*(' Emissions Calculator'!L$2='Emissions Lookup Table'!$B:$B),0)),0)</f>
        <v>32.849999999999994</v>
      </c>
      <c r="M9" s="206">
        <f t="array" ref="M9">IFERROR(INDEX('Emissions Lookup Table'!$F:$F,MATCH(1,($I9='Emissions Lookup Table'!$A:$A)*(' Emissions Calculator'!M$2='Emissions Lookup Table'!$B:$B),0)),0)</f>
        <v>0</v>
      </c>
      <c r="N9" s="206">
        <f t="array" ref="N9">IFERROR(INDEX('Emissions Lookup Table'!$F:$F,MATCH(1,($I9='Emissions Lookup Table'!$A:$A)*(' Emissions Calculator'!N$2='Emissions Lookup Table'!$B:$B),0)),0)</f>
        <v>0</v>
      </c>
      <c r="O9" s="206">
        <f t="array" ref="O9">IFERROR(INDEX('Emissions Lookup Table'!$F:$F,MATCH(1,($I9='Emissions Lookup Table'!$A:$A)*(' Emissions Calculator'!O$2='Emissions Lookup Table'!$B:$B),0)),0)</f>
        <v>0</v>
      </c>
      <c r="P9" s="206">
        <f t="array" ref="P9">IFERROR(INDEX('Emissions Lookup Table'!$F:$F,MATCH(1,($I9='Emissions Lookup Table'!$A:$A)*(' Emissions Calculator'!P$2='Emissions Lookup Table'!$B:$B),0)),0)</f>
        <v>0</v>
      </c>
      <c r="Q9" s="206">
        <f t="array" ref="Q9">IFERROR(INDEX('Emissions Lookup Table'!$F:$F,MATCH(1,($I9='Emissions Lookup Table'!$A:$A)*(' Emissions Calculator'!Q$2='Emissions Lookup Table'!$B:$B),0)),0)</f>
        <v>0</v>
      </c>
      <c r="R9" s="206">
        <f t="array" ref="R9">IFERROR(INDEX('Emissions Lookup Table'!$F:$F,MATCH(1,($I9='Emissions Lookup Table'!$A:$A)*(' Emissions Calculator'!R$2='Emissions Lookup Table'!$B:$B),0)),0)</f>
        <v>0</v>
      </c>
      <c r="S9" s="206">
        <f t="array" ref="S9">IFERROR(INDEX('Emissions Lookup Table'!$F:$F,MATCH(1,($I9='Emissions Lookup Table'!$A:$A)*(' Emissions Calculator'!S$2='Emissions Lookup Table'!$B:$B),0)),0)</f>
        <v>0</v>
      </c>
      <c r="T9" s="189"/>
      <c r="U9" s="205" t="s">
        <v>95</v>
      </c>
      <c r="V9" s="207">
        <f t="shared" si="3"/>
        <v>1126.1249999999998</v>
      </c>
      <c r="W9" s="207">
        <f t="shared" si="4"/>
        <v>17.159999999999997</v>
      </c>
      <c r="X9" s="207">
        <f t="shared" si="5"/>
        <v>3061.2914999999994</v>
      </c>
      <c r="Y9" s="207">
        <f t="shared" si="6"/>
        <v>0</v>
      </c>
      <c r="Z9" s="207">
        <f t="shared" si="7"/>
        <v>0</v>
      </c>
      <c r="AA9" s="207">
        <f t="shared" si="8"/>
        <v>0</v>
      </c>
      <c r="AB9" s="207">
        <f t="shared" si="9"/>
        <v>0</v>
      </c>
      <c r="AC9" s="207">
        <f t="shared" si="10"/>
        <v>0</v>
      </c>
      <c r="AD9" s="207">
        <f t="shared" si="11"/>
        <v>0</v>
      </c>
      <c r="AE9" s="207">
        <f t="shared" si="12"/>
        <v>0</v>
      </c>
      <c r="AF9" s="189"/>
      <c r="AG9" s="189"/>
      <c r="AH9" s="142"/>
      <c r="AI9" s="142"/>
      <c r="AJ9" s="142"/>
      <c r="AK9" s="142"/>
      <c r="AL9" s="142"/>
      <c r="AM9" s="142"/>
      <c r="AN9" s="142"/>
      <c r="AO9" s="142"/>
      <c r="AP9" s="142"/>
      <c r="AQ9" s="142"/>
      <c r="AR9" s="142"/>
      <c r="AS9" s="142"/>
      <c r="AT9" s="142"/>
      <c r="AU9" s="142"/>
      <c r="AV9" s="189"/>
      <c r="AW9" s="189"/>
      <c r="AX9" s="189"/>
      <c r="AY9" s="189"/>
      <c r="AZ9" s="189"/>
    </row>
    <row r="10" spans="1:52">
      <c r="A10" s="189"/>
      <c r="B10" s="189"/>
      <c r="C10" s="189"/>
      <c r="D10" s="203" t="s">
        <v>77</v>
      </c>
      <c r="E10" s="135"/>
      <c r="F10" s="133"/>
      <c r="G10" s="133"/>
      <c r="H10" s="189"/>
      <c r="I10" s="205" t="s">
        <v>96</v>
      </c>
      <c r="J10" s="206">
        <f t="array" ref="J10">IFERROR(INDEX('Emissions Lookup Table'!$F:$F,MATCH(1,($I10='Emissions Lookup Table'!$A:$A)*(' Emissions Calculator'!J$2='Emissions Lookup Table'!$B:$B),0)),0)</f>
        <v>286</v>
      </c>
      <c r="K10" s="206">
        <f t="array" ref="K10">IFERROR(INDEX('Emissions Lookup Table'!$F:$F,MATCH(1,($I10='Emissions Lookup Table'!$A:$A)*(' Emissions Calculator'!K$2='Emissions Lookup Table'!$B:$B),0)),0)</f>
        <v>286</v>
      </c>
      <c r="L10" s="206">
        <f t="array" ref="L10">IFERROR(INDEX('Emissions Lookup Table'!$F:$F,MATCH(1,($I10='Emissions Lookup Table'!$A:$A)*(' Emissions Calculator'!L$2='Emissions Lookup Table'!$B:$B),0)),0)</f>
        <v>43.8</v>
      </c>
      <c r="M10" s="206">
        <f t="array" ref="M10">IFERROR(INDEX('Emissions Lookup Table'!$F:$F,MATCH(1,($I10='Emissions Lookup Table'!$A:$A)*(' Emissions Calculator'!M$2='Emissions Lookup Table'!$B:$B),0)),0)</f>
        <v>0</v>
      </c>
      <c r="N10" s="206">
        <f t="array" ref="N10">IFERROR(INDEX('Emissions Lookup Table'!$F:$F,MATCH(1,($I10='Emissions Lookup Table'!$A:$A)*(' Emissions Calculator'!N$2='Emissions Lookup Table'!$B:$B),0)),0)</f>
        <v>0</v>
      </c>
      <c r="O10" s="206">
        <f t="array" ref="O10">IFERROR(INDEX('Emissions Lookup Table'!$F:$F,MATCH(1,($I10='Emissions Lookup Table'!$A:$A)*(' Emissions Calculator'!O$2='Emissions Lookup Table'!$B:$B),0)),0)</f>
        <v>0</v>
      </c>
      <c r="P10" s="206">
        <f t="array" ref="P10">IFERROR(INDEX('Emissions Lookup Table'!$F:$F,MATCH(1,($I10='Emissions Lookup Table'!$A:$A)*(' Emissions Calculator'!P$2='Emissions Lookup Table'!$B:$B),0)),0)</f>
        <v>0</v>
      </c>
      <c r="Q10" s="206">
        <f t="array" ref="Q10">IFERROR(INDEX('Emissions Lookup Table'!$F:$F,MATCH(1,($I10='Emissions Lookup Table'!$A:$A)*(' Emissions Calculator'!Q$2='Emissions Lookup Table'!$B:$B),0)),0)</f>
        <v>0</v>
      </c>
      <c r="R10" s="206">
        <f t="array" ref="R10">IFERROR(INDEX('Emissions Lookup Table'!$F:$F,MATCH(1,($I10='Emissions Lookup Table'!$A:$A)*(' Emissions Calculator'!R$2='Emissions Lookup Table'!$B:$B),0)),0)</f>
        <v>0</v>
      </c>
      <c r="S10" s="206">
        <f t="array" ref="S10">IFERROR(INDEX('Emissions Lookup Table'!$F:$F,MATCH(1,($I10='Emissions Lookup Table'!$A:$A)*(' Emissions Calculator'!S$2='Emissions Lookup Table'!$B:$B),0)),0)</f>
        <v>0</v>
      </c>
      <c r="T10" s="189"/>
      <c r="U10" s="205" t="s">
        <v>96</v>
      </c>
      <c r="V10" s="207">
        <f t="shared" si="3"/>
        <v>1501.5</v>
      </c>
      <c r="W10" s="207">
        <f t="shared" si="4"/>
        <v>22.88</v>
      </c>
      <c r="X10" s="207">
        <f t="shared" si="5"/>
        <v>4081.7219999999998</v>
      </c>
      <c r="Y10" s="207">
        <f t="shared" si="6"/>
        <v>0</v>
      </c>
      <c r="Z10" s="207">
        <f t="shared" si="7"/>
        <v>0</v>
      </c>
      <c r="AA10" s="207">
        <f t="shared" si="8"/>
        <v>0</v>
      </c>
      <c r="AB10" s="207">
        <f t="shared" si="9"/>
        <v>0</v>
      </c>
      <c r="AC10" s="207">
        <f t="shared" si="10"/>
        <v>0</v>
      </c>
      <c r="AD10" s="207">
        <f t="shared" si="11"/>
        <v>0</v>
      </c>
      <c r="AE10" s="207">
        <f t="shared" si="12"/>
        <v>0</v>
      </c>
      <c r="AF10" s="189"/>
      <c r="AG10" s="189"/>
      <c r="AH10" s="142"/>
      <c r="AI10" s="142"/>
      <c r="AJ10" s="142"/>
      <c r="AK10" s="142"/>
      <c r="AL10" s="142"/>
      <c r="AM10" s="142"/>
      <c r="AN10" s="142"/>
      <c r="AO10" s="142"/>
      <c r="AP10" s="142"/>
      <c r="AQ10" s="142"/>
      <c r="AR10" s="142"/>
      <c r="AS10" s="142"/>
      <c r="AT10" s="142"/>
      <c r="AU10" s="142"/>
      <c r="AV10" s="189"/>
      <c r="AW10" s="189"/>
      <c r="AX10" s="189"/>
      <c r="AY10" s="189"/>
      <c r="AZ10" s="189"/>
    </row>
    <row r="11" spans="1:52">
      <c r="A11" s="189"/>
      <c r="B11" s="189"/>
      <c r="C11" s="189"/>
      <c r="D11" s="203" t="s">
        <v>78</v>
      </c>
      <c r="E11" s="135"/>
      <c r="F11" s="133"/>
      <c r="G11" s="133"/>
      <c r="H11" s="189"/>
      <c r="I11" s="205" t="s">
        <v>97</v>
      </c>
      <c r="J11" s="206">
        <f t="array" ref="J11">IFERROR(INDEX('Emissions Lookup Table'!$F:$F,MATCH(1,($I11='Emissions Lookup Table'!$A:$A)*(' Emissions Calculator'!J$2='Emissions Lookup Table'!$B:$B),0)),0)</f>
        <v>357.5</v>
      </c>
      <c r="K11" s="206">
        <f t="array" ref="K11">IFERROR(INDEX('Emissions Lookup Table'!$F:$F,MATCH(1,($I11='Emissions Lookup Table'!$A:$A)*(' Emissions Calculator'!K$2='Emissions Lookup Table'!$B:$B),0)),0)</f>
        <v>357.5</v>
      </c>
      <c r="L11" s="206">
        <f t="array" ref="L11">IFERROR(INDEX('Emissions Lookup Table'!$F:$F,MATCH(1,($I11='Emissions Lookup Table'!$A:$A)*(' Emissions Calculator'!L$2='Emissions Lookup Table'!$B:$B),0)),0)</f>
        <v>54.749999999999993</v>
      </c>
      <c r="M11" s="206">
        <f t="array" ref="M11">IFERROR(INDEX('Emissions Lookup Table'!$F:$F,MATCH(1,($I11='Emissions Lookup Table'!$A:$A)*(' Emissions Calculator'!M$2='Emissions Lookup Table'!$B:$B),0)),0)</f>
        <v>0</v>
      </c>
      <c r="N11" s="206">
        <f t="array" ref="N11">IFERROR(INDEX('Emissions Lookup Table'!$F:$F,MATCH(1,($I11='Emissions Lookup Table'!$A:$A)*(' Emissions Calculator'!N$2='Emissions Lookup Table'!$B:$B),0)),0)</f>
        <v>0</v>
      </c>
      <c r="O11" s="206">
        <f t="array" ref="O11">IFERROR(INDEX('Emissions Lookup Table'!$F:$F,MATCH(1,($I11='Emissions Lookup Table'!$A:$A)*(' Emissions Calculator'!O$2='Emissions Lookup Table'!$B:$B),0)),0)</f>
        <v>0</v>
      </c>
      <c r="P11" s="206">
        <f t="array" ref="P11">IFERROR(INDEX('Emissions Lookup Table'!$F:$F,MATCH(1,($I11='Emissions Lookup Table'!$A:$A)*(' Emissions Calculator'!P$2='Emissions Lookup Table'!$B:$B),0)),0)</f>
        <v>0</v>
      </c>
      <c r="Q11" s="206">
        <f t="array" ref="Q11">IFERROR(INDEX('Emissions Lookup Table'!$F:$F,MATCH(1,($I11='Emissions Lookup Table'!$A:$A)*(' Emissions Calculator'!Q$2='Emissions Lookup Table'!$B:$B),0)),0)</f>
        <v>0</v>
      </c>
      <c r="R11" s="206">
        <f t="array" ref="R11">IFERROR(INDEX('Emissions Lookup Table'!$F:$F,MATCH(1,($I11='Emissions Lookup Table'!$A:$A)*(' Emissions Calculator'!R$2='Emissions Lookup Table'!$B:$B),0)),0)</f>
        <v>0</v>
      </c>
      <c r="S11" s="206">
        <f t="array" ref="S11">IFERROR(INDEX('Emissions Lookup Table'!$F:$F,MATCH(1,($I11='Emissions Lookup Table'!$A:$A)*(' Emissions Calculator'!S$2='Emissions Lookup Table'!$B:$B),0)),0)</f>
        <v>0</v>
      </c>
      <c r="T11" s="189"/>
      <c r="U11" s="205" t="s">
        <v>97</v>
      </c>
      <c r="V11" s="207">
        <f t="shared" si="3"/>
        <v>1876.875</v>
      </c>
      <c r="W11" s="207">
        <f t="shared" si="4"/>
        <v>28.6</v>
      </c>
      <c r="X11" s="207">
        <f t="shared" si="5"/>
        <v>5102.1524999999992</v>
      </c>
      <c r="Y11" s="207">
        <f t="shared" si="6"/>
        <v>0</v>
      </c>
      <c r="Z11" s="207">
        <f t="shared" si="7"/>
        <v>0</v>
      </c>
      <c r="AA11" s="207">
        <f t="shared" si="8"/>
        <v>0</v>
      </c>
      <c r="AB11" s="207">
        <f t="shared" si="9"/>
        <v>0</v>
      </c>
      <c r="AC11" s="207">
        <f t="shared" si="10"/>
        <v>0</v>
      </c>
      <c r="AD11" s="207">
        <f t="shared" si="11"/>
        <v>0</v>
      </c>
      <c r="AE11" s="207">
        <f t="shared" si="12"/>
        <v>0</v>
      </c>
      <c r="AF11" s="189"/>
      <c r="AG11" s="189"/>
      <c r="AH11" s="142"/>
      <c r="AI11" s="142"/>
      <c r="AJ11" s="142"/>
      <c r="AK11" s="142"/>
      <c r="AL11" s="142"/>
      <c r="AM11" s="142"/>
      <c r="AN11" s="142"/>
      <c r="AO11" s="142"/>
      <c r="AP11" s="142"/>
      <c r="AQ11" s="142"/>
      <c r="AR11" s="142"/>
      <c r="AS11" s="142"/>
      <c r="AT11" s="142"/>
      <c r="AU11" s="142"/>
      <c r="AV11" s="189"/>
      <c r="AW11" s="189"/>
      <c r="AX11" s="189"/>
      <c r="AY11" s="189"/>
      <c r="AZ11" s="189"/>
    </row>
    <row r="12" spans="1:52">
      <c r="A12" s="189"/>
      <c r="B12" s="189"/>
      <c r="C12" s="189"/>
      <c r="D12" s="203" t="s">
        <v>79</v>
      </c>
      <c r="E12" s="135"/>
      <c r="F12" s="133"/>
      <c r="G12" s="133"/>
      <c r="H12" s="189"/>
      <c r="I12" s="205" t="s">
        <v>98</v>
      </c>
      <c r="J12" s="206">
        <f t="array" ref="J12">IFERROR(INDEX('Emissions Lookup Table'!$F:$F,MATCH(1,($I12='Emissions Lookup Table'!$A:$A)*(' Emissions Calculator'!J$2='Emissions Lookup Table'!$B:$B),0)),0)</f>
        <v>429</v>
      </c>
      <c r="K12" s="206">
        <f t="array" ref="K12">IFERROR(INDEX('Emissions Lookup Table'!$F:$F,MATCH(1,($I12='Emissions Lookup Table'!$A:$A)*(' Emissions Calculator'!K$2='Emissions Lookup Table'!$B:$B),0)),0)</f>
        <v>429</v>
      </c>
      <c r="L12" s="206">
        <f t="array" ref="L12">IFERROR(INDEX('Emissions Lookup Table'!$F:$F,MATCH(1,($I12='Emissions Lookup Table'!$A:$A)*(' Emissions Calculator'!L$2='Emissions Lookup Table'!$B:$B),0)),0)</f>
        <v>65.7</v>
      </c>
      <c r="M12" s="206">
        <f t="array" ref="M12">IFERROR(INDEX('Emissions Lookup Table'!$F:$F,MATCH(1,($I12='Emissions Lookup Table'!$A:$A)*(' Emissions Calculator'!M$2='Emissions Lookup Table'!$B:$B),0)),0)</f>
        <v>0</v>
      </c>
      <c r="N12" s="206">
        <f t="array" ref="N12">IFERROR(INDEX('Emissions Lookup Table'!$F:$F,MATCH(1,($I12='Emissions Lookup Table'!$A:$A)*(' Emissions Calculator'!N$2='Emissions Lookup Table'!$B:$B),0)),0)</f>
        <v>0</v>
      </c>
      <c r="O12" s="206">
        <f t="array" ref="O12">IFERROR(INDEX('Emissions Lookup Table'!$F:$F,MATCH(1,($I12='Emissions Lookup Table'!$A:$A)*(' Emissions Calculator'!O$2='Emissions Lookup Table'!$B:$B),0)),0)</f>
        <v>0</v>
      </c>
      <c r="P12" s="206">
        <f t="array" ref="P12">IFERROR(INDEX('Emissions Lookup Table'!$F:$F,MATCH(1,($I12='Emissions Lookup Table'!$A:$A)*(' Emissions Calculator'!P$2='Emissions Lookup Table'!$B:$B),0)),0)</f>
        <v>0</v>
      </c>
      <c r="Q12" s="206">
        <f t="array" ref="Q12">IFERROR(INDEX('Emissions Lookup Table'!$F:$F,MATCH(1,($I12='Emissions Lookup Table'!$A:$A)*(' Emissions Calculator'!Q$2='Emissions Lookup Table'!$B:$B),0)),0)</f>
        <v>0</v>
      </c>
      <c r="R12" s="206">
        <f t="array" ref="R12">IFERROR(INDEX('Emissions Lookup Table'!$F:$F,MATCH(1,($I12='Emissions Lookup Table'!$A:$A)*(' Emissions Calculator'!R$2='Emissions Lookup Table'!$B:$B),0)),0)</f>
        <v>0</v>
      </c>
      <c r="S12" s="206">
        <f t="array" ref="S12">IFERROR(INDEX('Emissions Lookup Table'!$F:$F,MATCH(1,($I12='Emissions Lookup Table'!$A:$A)*(' Emissions Calculator'!S$2='Emissions Lookup Table'!$B:$B),0)),0)</f>
        <v>0</v>
      </c>
      <c r="T12" s="189"/>
      <c r="U12" s="205" t="s">
        <v>98</v>
      </c>
      <c r="V12" s="207">
        <f t="shared" si="3"/>
        <v>2252.25</v>
      </c>
      <c r="W12" s="207">
        <f t="shared" si="4"/>
        <v>34.32</v>
      </c>
      <c r="X12" s="207">
        <f t="shared" si="5"/>
        <v>6122.5830000000005</v>
      </c>
      <c r="Y12" s="207">
        <f t="shared" si="6"/>
        <v>0</v>
      </c>
      <c r="Z12" s="207">
        <f t="shared" si="7"/>
        <v>0</v>
      </c>
      <c r="AA12" s="207">
        <f t="shared" si="8"/>
        <v>0</v>
      </c>
      <c r="AB12" s="207">
        <f t="shared" si="9"/>
        <v>0</v>
      </c>
      <c r="AC12" s="207">
        <f t="shared" si="10"/>
        <v>0</v>
      </c>
      <c r="AD12" s="207">
        <f t="shared" si="11"/>
        <v>0</v>
      </c>
      <c r="AE12" s="207">
        <f t="shared" si="12"/>
        <v>0</v>
      </c>
      <c r="AF12" s="189"/>
      <c r="AG12" s="189"/>
      <c r="AH12" s="142"/>
      <c r="AI12" s="142"/>
      <c r="AJ12" s="142"/>
      <c r="AK12" s="142"/>
      <c r="AL12" s="142"/>
      <c r="AM12" s="142"/>
      <c r="AN12" s="142"/>
      <c r="AO12" s="142"/>
      <c r="AP12" s="142"/>
      <c r="AQ12" s="142"/>
      <c r="AR12" s="142"/>
      <c r="AS12" s="142"/>
      <c r="AT12" s="142"/>
      <c r="AU12" s="142"/>
      <c r="AV12" s="189"/>
      <c r="AW12" s="189"/>
      <c r="AX12" s="189"/>
      <c r="AY12" s="189"/>
      <c r="AZ12" s="189"/>
    </row>
    <row r="13" spans="1:52">
      <c r="B13" s="189"/>
      <c r="C13" s="189"/>
      <c r="D13" s="203" t="s">
        <v>80</v>
      </c>
      <c r="E13" s="135"/>
      <c r="F13" s="133"/>
      <c r="G13" s="133"/>
      <c r="H13" s="189"/>
      <c r="I13" s="205" t="s">
        <v>99</v>
      </c>
      <c r="J13" s="206">
        <f t="array" ref="J13">IFERROR(INDEX('Emissions Lookup Table'!$F:$F,MATCH(1,($I13='Emissions Lookup Table'!$A:$A)*(' Emissions Calculator'!J$2='Emissions Lookup Table'!$B:$B),0)),0)</f>
        <v>500.50000000000006</v>
      </c>
      <c r="K13" s="206">
        <f t="array" ref="K13">IFERROR(INDEX('Emissions Lookup Table'!$F:$F,MATCH(1,($I13='Emissions Lookup Table'!$A:$A)*(' Emissions Calculator'!K$2='Emissions Lookup Table'!$B:$B),0)),0)</f>
        <v>500.50000000000006</v>
      </c>
      <c r="L13" s="206">
        <f t="array" ref="L13">IFERROR(INDEX('Emissions Lookup Table'!$F:$F,MATCH(1,($I13='Emissions Lookup Table'!$A:$A)*(' Emissions Calculator'!L$2='Emissions Lookup Table'!$B:$B),0)),0)</f>
        <v>76.649999999999991</v>
      </c>
      <c r="M13" s="206">
        <f t="array" ref="M13">IFERROR(INDEX('Emissions Lookup Table'!$F:$F,MATCH(1,($I13='Emissions Lookup Table'!$A:$A)*(' Emissions Calculator'!M$2='Emissions Lookup Table'!$B:$B),0)),0)</f>
        <v>0</v>
      </c>
      <c r="N13" s="206">
        <f t="array" ref="N13">IFERROR(INDEX('Emissions Lookup Table'!$F:$F,MATCH(1,($I13='Emissions Lookup Table'!$A:$A)*(' Emissions Calculator'!N$2='Emissions Lookup Table'!$B:$B),0)),0)</f>
        <v>0</v>
      </c>
      <c r="O13" s="206">
        <f t="array" ref="O13">IFERROR(INDEX('Emissions Lookup Table'!$F:$F,MATCH(1,($I13='Emissions Lookup Table'!$A:$A)*(' Emissions Calculator'!O$2='Emissions Lookup Table'!$B:$B),0)),0)</f>
        <v>0</v>
      </c>
      <c r="P13" s="206">
        <f t="array" ref="P13">IFERROR(INDEX('Emissions Lookup Table'!$F:$F,MATCH(1,($I13='Emissions Lookup Table'!$A:$A)*(' Emissions Calculator'!P$2='Emissions Lookup Table'!$B:$B),0)),0)</f>
        <v>0</v>
      </c>
      <c r="Q13" s="206">
        <f t="array" ref="Q13">IFERROR(INDEX('Emissions Lookup Table'!$F:$F,MATCH(1,($I13='Emissions Lookup Table'!$A:$A)*(' Emissions Calculator'!Q$2='Emissions Lookup Table'!$B:$B),0)),0)</f>
        <v>0</v>
      </c>
      <c r="R13" s="206">
        <f t="array" ref="R13">IFERROR(INDEX('Emissions Lookup Table'!$F:$F,MATCH(1,($I13='Emissions Lookup Table'!$A:$A)*(' Emissions Calculator'!R$2='Emissions Lookup Table'!$B:$B),0)),0)</f>
        <v>0</v>
      </c>
      <c r="S13" s="206">
        <f t="array" ref="S13">IFERROR(INDEX('Emissions Lookup Table'!$F:$F,MATCH(1,($I13='Emissions Lookup Table'!$A:$A)*(' Emissions Calculator'!S$2='Emissions Lookup Table'!$B:$B),0)),0)</f>
        <v>0</v>
      </c>
      <c r="T13" s="189"/>
      <c r="U13" s="205" t="s">
        <v>99</v>
      </c>
      <c r="V13" s="207">
        <f t="shared" si="3"/>
        <v>2627.6250000000005</v>
      </c>
      <c r="W13" s="207">
        <f t="shared" si="4"/>
        <v>40.040000000000006</v>
      </c>
      <c r="X13" s="207">
        <f t="shared" si="5"/>
        <v>7143.0134999999991</v>
      </c>
      <c r="Y13" s="207">
        <f t="shared" si="6"/>
        <v>0</v>
      </c>
      <c r="Z13" s="207">
        <f t="shared" si="7"/>
        <v>0</v>
      </c>
      <c r="AA13" s="207">
        <f t="shared" si="8"/>
        <v>0</v>
      </c>
      <c r="AB13" s="207">
        <f t="shared" si="9"/>
        <v>0</v>
      </c>
      <c r="AC13" s="207">
        <f t="shared" si="10"/>
        <v>0</v>
      </c>
      <c r="AD13" s="207">
        <f t="shared" si="11"/>
        <v>0</v>
      </c>
      <c r="AE13" s="207">
        <f t="shared" si="12"/>
        <v>0</v>
      </c>
      <c r="AF13" s="189"/>
      <c r="AG13" s="189"/>
      <c r="AH13" s="142"/>
      <c r="AI13" s="142"/>
      <c r="AJ13" s="142"/>
      <c r="AK13" s="142"/>
      <c r="AL13" s="142"/>
      <c r="AM13" s="142"/>
      <c r="AN13" s="142"/>
      <c r="AO13" s="142"/>
      <c r="AP13" s="142"/>
      <c r="AQ13" s="142"/>
      <c r="AR13" s="142"/>
      <c r="AS13" s="142"/>
      <c r="AT13" s="142"/>
      <c r="AU13" s="142"/>
      <c r="AV13" s="189"/>
      <c r="AW13" s="189"/>
      <c r="AX13" s="189"/>
      <c r="AY13" s="189"/>
      <c r="AZ13" s="189"/>
    </row>
    <row r="14" spans="1:52">
      <c r="A14" s="189"/>
      <c r="B14" s="189"/>
      <c r="C14" s="189"/>
      <c r="D14" s="203" t="s">
        <v>81</v>
      </c>
      <c r="E14" s="135"/>
      <c r="F14" s="133"/>
      <c r="G14" s="133"/>
      <c r="H14" s="189"/>
      <c r="I14" s="205" t="s">
        <v>100</v>
      </c>
      <c r="J14" s="206">
        <f t="array" ref="J14">IFERROR(INDEX('Emissions Lookup Table'!$F:$F,MATCH(1,($I14='Emissions Lookup Table'!$A:$A)*(' Emissions Calculator'!J$2='Emissions Lookup Table'!$B:$B),0)),0)</f>
        <v>572.00000000000011</v>
      </c>
      <c r="K14" s="206">
        <f t="array" ref="K14">IFERROR(INDEX('Emissions Lookup Table'!$F:$F,MATCH(1,($I14='Emissions Lookup Table'!$A:$A)*(' Emissions Calculator'!K$2='Emissions Lookup Table'!$B:$B),0)),0)</f>
        <v>572.00000000000011</v>
      </c>
      <c r="L14" s="206">
        <f t="array" ref="L14">IFERROR(INDEX('Emissions Lookup Table'!$F:$F,MATCH(1,($I14='Emissions Lookup Table'!$A:$A)*(' Emissions Calculator'!L$2='Emissions Lookup Table'!$B:$B),0)),0)</f>
        <v>87.6</v>
      </c>
      <c r="M14" s="206">
        <f t="array" ref="M14">IFERROR(INDEX('Emissions Lookup Table'!$F:$F,MATCH(1,($I14='Emissions Lookup Table'!$A:$A)*(' Emissions Calculator'!M$2='Emissions Lookup Table'!$B:$B),0)),0)</f>
        <v>0</v>
      </c>
      <c r="N14" s="206">
        <f t="array" ref="N14">IFERROR(INDEX('Emissions Lookup Table'!$F:$F,MATCH(1,($I14='Emissions Lookup Table'!$A:$A)*(' Emissions Calculator'!N$2='Emissions Lookup Table'!$B:$B),0)),0)</f>
        <v>0</v>
      </c>
      <c r="O14" s="206">
        <f t="array" ref="O14">IFERROR(INDEX('Emissions Lookup Table'!$F:$F,MATCH(1,($I14='Emissions Lookup Table'!$A:$A)*(' Emissions Calculator'!O$2='Emissions Lookup Table'!$B:$B),0)),0)</f>
        <v>0</v>
      </c>
      <c r="P14" s="206">
        <f t="array" ref="P14">IFERROR(INDEX('Emissions Lookup Table'!$F:$F,MATCH(1,($I14='Emissions Lookup Table'!$A:$A)*(' Emissions Calculator'!P$2='Emissions Lookup Table'!$B:$B),0)),0)</f>
        <v>0</v>
      </c>
      <c r="Q14" s="206">
        <f t="array" ref="Q14">IFERROR(INDEX('Emissions Lookup Table'!$F:$F,MATCH(1,($I14='Emissions Lookup Table'!$A:$A)*(' Emissions Calculator'!Q$2='Emissions Lookup Table'!$B:$B),0)),0)</f>
        <v>0</v>
      </c>
      <c r="R14" s="206">
        <f t="array" ref="R14">IFERROR(INDEX('Emissions Lookup Table'!$F:$F,MATCH(1,($I14='Emissions Lookup Table'!$A:$A)*(' Emissions Calculator'!R$2='Emissions Lookup Table'!$B:$B),0)),0)</f>
        <v>0</v>
      </c>
      <c r="S14" s="206">
        <f t="array" ref="S14">IFERROR(INDEX('Emissions Lookup Table'!$F:$F,MATCH(1,($I14='Emissions Lookup Table'!$A:$A)*(' Emissions Calculator'!S$2='Emissions Lookup Table'!$B:$B),0)),0)</f>
        <v>0</v>
      </c>
      <c r="T14" s="189"/>
      <c r="U14" s="205" t="s">
        <v>100</v>
      </c>
      <c r="V14" s="207">
        <f t="shared" si="3"/>
        <v>3003.0000000000005</v>
      </c>
      <c r="W14" s="207">
        <f t="shared" si="4"/>
        <v>45.760000000000012</v>
      </c>
      <c r="X14" s="207">
        <f t="shared" si="5"/>
        <v>8163.4439999999995</v>
      </c>
      <c r="Y14" s="207">
        <f t="shared" si="6"/>
        <v>0</v>
      </c>
      <c r="Z14" s="207">
        <f t="shared" si="7"/>
        <v>0</v>
      </c>
      <c r="AA14" s="207">
        <f t="shared" si="8"/>
        <v>0</v>
      </c>
      <c r="AB14" s="207">
        <f t="shared" si="9"/>
        <v>0</v>
      </c>
      <c r="AC14" s="207">
        <f t="shared" si="10"/>
        <v>0</v>
      </c>
      <c r="AD14" s="207">
        <f t="shared" si="11"/>
        <v>0</v>
      </c>
      <c r="AE14" s="207">
        <f t="shared" si="12"/>
        <v>0</v>
      </c>
      <c r="AF14" s="189"/>
      <c r="AG14" s="189"/>
      <c r="AH14" s="142"/>
      <c r="AI14" s="142"/>
      <c r="AJ14" s="142"/>
      <c r="AK14" s="142"/>
      <c r="AL14" s="142"/>
      <c r="AM14" s="142"/>
      <c r="AN14" s="142"/>
      <c r="AO14" s="142"/>
      <c r="AP14" s="142"/>
      <c r="AQ14" s="142"/>
      <c r="AR14" s="142"/>
      <c r="AS14" s="142"/>
      <c r="AT14" s="142"/>
      <c r="AU14" s="142"/>
      <c r="AV14" s="189"/>
      <c r="AW14" s="189"/>
      <c r="AX14" s="189"/>
      <c r="AY14" s="189"/>
      <c r="AZ14" s="189"/>
    </row>
    <row r="15" spans="1:52">
      <c r="B15" s="189"/>
      <c r="C15" s="189"/>
      <c r="D15" s="203" t="s">
        <v>82</v>
      </c>
      <c r="E15" s="136"/>
      <c r="F15" s="132"/>
      <c r="G15" s="137"/>
      <c r="H15" s="189"/>
      <c r="I15" s="205" t="s">
        <v>101</v>
      </c>
      <c r="J15" s="206">
        <f t="array" ref="J15">IFERROR(INDEX('Emissions Lookup Table'!$F:$F,MATCH(1,($I15='Emissions Lookup Table'!$A:$A)*(' Emissions Calculator'!J$2='Emissions Lookup Table'!$B:$B),0)),0)</f>
        <v>643.50000000000011</v>
      </c>
      <c r="K15" s="206">
        <f t="array" ref="K15">IFERROR(INDEX('Emissions Lookup Table'!$F:$F,MATCH(1,($I15='Emissions Lookup Table'!$A:$A)*(' Emissions Calculator'!K$2='Emissions Lookup Table'!$B:$B),0)),0)</f>
        <v>643.50000000000011</v>
      </c>
      <c r="L15" s="206">
        <f t="array" ref="L15">IFERROR(INDEX('Emissions Lookup Table'!$F:$F,MATCH(1,($I15='Emissions Lookup Table'!$A:$A)*(' Emissions Calculator'!L$2='Emissions Lookup Table'!$B:$B),0)),0)</f>
        <v>98.549999999999983</v>
      </c>
      <c r="M15" s="206">
        <f t="array" ref="M15">IFERROR(INDEX('Emissions Lookup Table'!$F:$F,MATCH(1,($I15='Emissions Lookup Table'!$A:$A)*(' Emissions Calculator'!M$2='Emissions Lookup Table'!$B:$B),0)),0)</f>
        <v>0</v>
      </c>
      <c r="N15" s="206">
        <f t="array" ref="N15">IFERROR(INDEX('Emissions Lookup Table'!$F:$F,MATCH(1,($I15='Emissions Lookup Table'!$A:$A)*(' Emissions Calculator'!N$2='Emissions Lookup Table'!$B:$B),0)),0)</f>
        <v>0</v>
      </c>
      <c r="O15" s="206">
        <f t="array" ref="O15">IFERROR(INDEX('Emissions Lookup Table'!$F:$F,MATCH(1,($I15='Emissions Lookup Table'!$A:$A)*(' Emissions Calculator'!O$2='Emissions Lookup Table'!$B:$B),0)),0)</f>
        <v>0</v>
      </c>
      <c r="P15" s="206">
        <f t="array" ref="P15">IFERROR(INDEX('Emissions Lookup Table'!$F:$F,MATCH(1,($I15='Emissions Lookup Table'!$A:$A)*(' Emissions Calculator'!P$2='Emissions Lookup Table'!$B:$B),0)),0)</f>
        <v>0</v>
      </c>
      <c r="Q15" s="206">
        <f t="array" ref="Q15">IFERROR(INDEX('Emissions Lookup Table'!$F:$F,MATCH(1,($I15='Emissions Lookup Table'!$A:$A)*(' Emissions Calculator'!Q$2='Emissions Lookup Table'!$B:$B),0)),0)</f>
        <v>0</v>
      </c>
      <c r="R15" s="206">
        <f t="array" ref="R15">IFERROR(INDEX('Emissions Lookup Table'!$F:$F,MATCH(1,($I15='Emissions Lookup Table'!$A:$A)*(' Emissions Calculator'!R$2='Emissions Lookup Table'!$B:$B),0)),0)</f>
        <v>0</v>
      </c>
      <c r="S15" s="206">
        <f t="array" ref="S15">IFERROR(INDEX('Emissions Lookup Table'!$F:$F,MATCH(1,($I15='Emissions Lookup Table'!$A:$A)*(' Emissions Calculator'!S$2='Emissions Lookup Table'!$B:$B),0)),0)</f>
        <v>0</v>
      </c>
      <c r="T15" s="189"/>
      <c r="U15" s="205" t="s">
        <v>101</v>
      </c>
      <c r="V15" s="207">
        <f t="shared" si="3"/>
        <v>3378.3750000000005</v>
      </c>
      <c r="W15" s="207">
        <f t="shared" si="4"/>
        <v>51.480000000000011</v>
      </c>
      <c r="X15" s="207">
        <f t="shared" si="5"/>
        <v>9183.8744999999981</v>
      </c>
      <c r="Y15" s="207">
        <f t="shared" si="6"/>
        <v>0</v>
      </c>
      <c r="Z15" s="207">
        <f t="shared" si="7"/>
        <v>0</v>
      </c>
      <c r="AA15" s="207">
        <f t="shared" si="8"/>
        <v>0</v>
      </c>
      <c r="AB15" s="207">
        <f t="shared" si="9"/>
        <v>0</v>
      </c>
      <c r="AC15" s="207">
        <f t="shared" si="10"/>
        <v>0</v>
      </c>
      <c r="AD15" s="207">
        <f t="shared" si="11"/>
        <v>0</v>
      </c>
      <c r="AE15" s="207">
        <f t="shared" si="12"/>
        <v>0</v>
      </c>
      <c r="AF15" s="189"/>
      <c r="AG15" s="189"/>
      <c r="AH15" s="142"/>
      <c r="AI15" s="142"/>
      <c r="AJ15" s="142"/>
      <c r="AK15" s="142"/>
      <c r="AL15" s="142"/>
      <c r="AM15" s="142"/>
      <c r="AN15" s="142"/>
      <c r="AO15" s="142"/>
      <c r="AP15" s="142"/>
      <c r="AQ15" s="142"/>
      <c r="AR15" s="142"/>
      <c r="AS15" s="142"/>
      <c r="AT15" s="142"/>
      <c r="AU15" s="142"/>
      <c r="AV15" s="189"/>
      <c r="AW15" s="189"/>
      <c r="AX15" s="189"/>
      <c r="AY15" s="189"/>
      <c r="AZ15" s="189"/>
    </row>
    <row r="16" spans="1:52">
      <c r="A16" s="189"/>
      <c r="B16" s="189"/>
      <c r="C16" s="189"/>
      <c r="D16" s="303" t="s">
        <v>102</v>
      </c>
      <c r="E16" s="305">
        <f>SUM(E6:E15)</f>
        <v>98.52</v>
      </c>
      <c r="F16" s="306"/>
      <c r="G16" s="307"/>
      <c r="H16" s="189"/>
      <c r="I16" s="205" t="s">
        <v>103</v>
      </c>
      <c r="J16" s="206">
        <f t="array" ref="J16">IFERROR(INDEX('Emissions Lookup Table'!$F:$F,MATCH(1,($I16='Emissions Lookup Table'!$A:$A)*(' Emissions Calculator'!J$2='Emissions Lookup Table'!$B:$B),0)),0)</f>
        <v>715.00000000000011</v>
      </c>
      <c r="K16" s="206">
        <f t="array" ref="K16">IFERROR(INDEX('Emissions Lookup Table'!$F:$F,MATCH(1,($I16='Emissions Lookup Table'!$A:$A)*(' Emissions Calculator'!K$2='Emissions Lookup Table'!$B:$B),0)),0)</f>
        <v>715.00000000000011</v>
      </c>
      <c r="L16" s="206">
        <f t="array" ref="L16">IFERROR(INDEX('Emissions Lookup Table'!$F:$F,MATCH(1,($I16='Emissions Lookup Table'!$A:$A)*(' Emissions Calculator'!L$2='Emissions Lookup Table'!$B:$B),0)),0)</f>
        <v>109.49999999999999</v>
      </c>
      <c r="M16" s="206">
        <f t="array" ref="M16">IFERROR(INDEX('Emissions Lookup Table'!$F:$F,MATCH(1,($I16='Emissions Lookup Table'!$A:$A)*(' Emissions Calculator'!M$2='Emissions Lookup Table'!$B:$B),0)),0)</f>
        <v>0</v>
      </c>
      <c r="N16" s="206">
        <f t="array" ref="N16">IFERROR(INDEX('Emissions Lookup Table'!$F:$F,MATCH(1,($I16='Emissions Lookup Table'!$A:$A)*(' Emissions Calculator'!N$2='Emissions Lookup Table'!$B:$B),0)),0)</f>
        <v>0</v>
      </c>
      <c r="O16" s="206">
        <f t="array" ref="O16">IFERROR(INDEX('Emissions Lookup Table'!$F:$F,MATCH(1,($I16='Emissions Lookup Table'!$A:$A)*(' Emissions Calculator'!O$2='Emissions Lookup Table'!$B:$B),0)),0)</f>
        <v>0</v>
      </c>
      <c r="P16" s="206">
        <f t="array" ref="P16">IFERROR(INDEX('Emissions Lookup Table'!$F:$F,MATCH(1,($I16='Emissions Lookup Table'!$A:$A)*(' Emissions Calculator'!P$2='Emissions Lookup Table'!$B:$B),0)),0)</f>
        <v>0</v>
      </c>
      <c r="Q16" s="206">
        <f t="array" ref="Q16">IFERROR(INDEX('Emissions Lookup Table'!$F:$F,MATCH(1,($I16='Emissions Lookup Table'!$A:$A)*(' Emissions Calculator'!Q$2='Emissions Lookup Table'!$B:$B),0)),0)</f>
        <v>0</v>
      </c>
      <c r="R16" s="206">
        <f t="array" ref="R16">IFERROR(INDEX('Emissions Lookup Table'!$F:$F,MATCH(1,($I16='Emissions Lookup Table'!$A:$A)*(' Emissions Calculator'!R$2='Emissions Lookup Table'!$B:$B),0)),0)</f>
        <v>0</v>
      </c>
      <c r="S16" s="206">
        <f t="array" ref="S16">IFERROR(INDEX('Emissions Lookup Table'!$F:$F,MATCH(1,($I16='Emissions Lookup Table'!$A:$A)*(' Emissions Calculator'!S$2='Emissions Lookup Table'!$B:$B),0)),0)</f>
        <v>0</v>
      </c>
      <c r="T16" s="189"/>
      <c r="U16" s="205" t="s">
        <v>103</v>
      </c>
      <c r="V16" s="207">
        <f t="shared" si="3"/>
        <v>3753.7500000000005</v>
      </c>
      <c r="W16" s="207">
        <f t="shared" si="4"/>
        <v>57.20000000000001</v>
      </c>
      <c r="X16" s="207">
        <f t="shared" si="5"/>
        <v>10204.304999999998</v>
      </c>
      <c r="Y16" s="207">
        <f t="shared" si="6"/>
        <v>0</v>
      </c>
      <c r="Z16" s="207">
        <f t="shared" si="7"/>
        <v>0</v>
      </c>
      <c r="AA16" s="207">
        <f t="shared" si="8"/>
        <v>0</v>
      </c>
      <c r="AB16" s="207">
        <f t="shared" si="9"/>
        <v>0</v>
      </c>
      <c r="AC16" s="207">
        <f t="shared" si="10"/>
        <v>0</v>
      </c>
      <c r="AD16" s="207">
        <f t="shared" si="11"/>
        <v>0</v>
      </c>
      <c r="AE16" s="207">
        <f t="shared" si="12"/>
        <v>0</v>
      </c>
      <c r="AF16" s="189"/>
      <c r="AG16" s="189"/>
      <c r="AH16" s="142"/>
      <c r="AI16" s="142"/>
      <c r="AJ16" s="142"/>
      <c r="AK16" s="142"/>
      <c r="AL16" s="142"/>
      <c r="AM16" s="142"/>
      <c r="AN16" s="142"/>
      <c r="AO16" s="142"/>
      <c r="AP16" s="142"/>
      <c r="AQ16" s="142"/>
      <c r="AR16" s="142"/>
      <c r="AS16" s="142"/>
      <c r="AT16" s="142"/>
      <c r="AU16" s="142"/>
      <c r="AV16" s="189"/>
      <c r="AW16" s="189"/>
      <c r="AX16" s="189"/>
      <c r="AY16" s="189"/>
      <c r="AZ16" s="189"/>
    </row>
    <row r="17" spans="1:52">
      <c r="A17" s="189"/>
      <c r="B17" s="189"/>
      <c r="C17" s="189"/>
      <c r="D17" s="304"/>
      <c r="E17" s="305"/>
      <c r="F17" s="306"/>
      <c r="G17" s="307"/>
      <c r="H17" s="189"/>
      <c r="I17" s="205" t="s">
        <v>104</v>
      </c>
      <c r="J17" s="206">
        <f t="array" ref="J17">IFERROR(INDEX('Emissions Lookup Table'!$F:$F,MATCH(1,($I17='Emissions Lookup Table'!$A:$A)*(' Emissions Calculator'!J$2='Emissions Lookup Table'!$B:$B),0)),0)</f>
        <v>786.50000000000023</v>
      </c>
      <c r="K17" s="206">
        <f t="array" ref="K17">IFERROR(INDEX('Emissions Lookup Table'!$F:$F,MATCH(1,($I17='Emissions Lookup Table'!$A:$A)*(' Emissions Calculator'!K$2='Emissions Lookup Table'!$B:$B),0)),0)</f>
        <v>786.50000000000023</v>
      </c>
      <c r="L17" s="206">
        <f t="array" ref="L17">IFERROR(INDEX('Emissions Lookup Table'!$F:$F,MATCH(1,($I17='Emissions Lookup Table'!$A:$A)*(' Emissions Calculator'!L$2='Emissions Lookup Table'!$B:$B),0)),0)</f>
        <v>120.44999999999999</v>
      </c>
      <c r="M17" s="206">
        <f t="array" ref="M17">IFERROR(INDEX('Emissions Lookup Table'!$F:$F,MATCH(1,($I17='Emissions Lookup Table'!$A:$A)*(' Emissions Calculator'!M$2='Emissions Lookup Table'!$B:$B),0)),0)</f>
        <v>0</v>
      </c>
      <c r="N17" s="206">
        <f t="array" ref="N17">IFERROR(INDEX('Emissions Lookup Table'!$F:$F,MATCH(1,($I17='Emissions Lookup Table'!$A:$A)*(' Emissions Calculator'!N$2='Emissions Lookup Table'!$B:$B),0)),0)</f>
        <v>0</v>
      </c>
      <c r="O17" s="206">
        <f t="array" ref="O17">IFERROR(INDEX('Emissions Lookup Table'!$F:$F,MATCH(1,($I17='Emissions Lookup Table'!$A:$A)*(' Emissions Calculator'!O$2='Emissions Lookup Table'!$B:$B),0)),0)</f>
        <v>0</v>
      </c>
      <c r="P17" s="206">
        <f t="array" ref="P17">IFERROR(INDEX('Emissions Lookup Table'!$F:$F,MATCH(1,($I17='Emissions Lookup Table'!$A:$A)*(' Emissions Calculator'!P$2='Emissions Lookup Table'!$B:$B),0)),0)</f>
        <v>0</v>
      </c>
      <c r="Q17" s="206">
        <f t="array" ref="Q17">IFERROR(INDEX('Emissions Lookup Table'!$F:$F,MATCH(1,($I17='Emissions Lookup Table'!$A:$A)*(' Emissions Calculator'!Q$2='Emissions Lookup Table'!$B:$B),0)),0)</f>
        <v>0</v>
      </c>
      <c r="R17" s="206">
        <f t="array" ref="R17">IFERROR(INDEX('Emissions Lookup Table'!$F:$F,MATCH(1,($I17='Emissions Lookup Table'!$A:$A)*(' Emissions Calculator'!R$2='Emissions Lookup Table'!$B:$B),0)),0)</f>
        <v>0</v>
      </c>
      <c r="S17" s="206">
        <f t="array" ref="S17">IFERROR(INDEX('Emissions Lookup Table'!$F:$F,MATCH(1,($I17='Emissions Lookup Table'!$A:$A)*(' Emissions Calculator'!S$2='Emissions Lookup Table'!$B:$B),0)),0)</f>
        <v>0</v>
      </c>
      <c r="T17" s="189"/>
      <c r="U17" s="205" t="s">
        <v>104</v>
      </c>
      <c r="V17" s="207">
        <f t="shared" si="3"/>
        <v>4129.1250000000009</v>
      </c>
      <c r="W17" s="207">
        <f t="shared" si="4"/>
        <v>62.920000000000023</v>
      </c>
      <c r="X17" s="207">
        <f t="shared" si="5"/>
        <v>11224.735499999999</v>
      </c>
      <c r="Y17" s="207">
        <f t="shared" si="6"/>
        <v>0</v>
      </c>
      <c r="Z17" s="207">
        <f t="shared" si="7"/>
        <v>0</v>
      </c>
      <c r="AA17" s="207">
        <f t="shared" si="8"/>
        <v>0</v>
      </c>
      <c r="AB17" s="207">
        <f t="shared" si="9"/>
        <v>0</v>
      </c>
      <c r="AC17" s="207">
        <f t="shared" si="10"/>
        <v>0</v>
      </c>
      <c r="AD17" s="207">
        <f t="shared" si="11"/>
        <v>0</v>
      </c>
      <c r="AE17" s="207">
        <f t="shared" si="12"/>
        <v>0</v>
      </c>
      <c r="AF17" s="189"/>
      <c r="AG17" s="189"/>
      <c r="AH17" s="142"/>
      <c r="AI17" s="142"/>
      <c r="AJ17" s="142"/>
      <c r="AK17" s="142"/>
      <c r="AL17" s="142"/>
      <c r="AM17" s="142"/>
      <c r="AN17" s="142"/>
      <c r="AO17" s="142"/>
      <c r="AP17" s="142"/>
      <c r="AQ17" s="142"/>
      <c r="AR17" s="142"/>
      <c r="AS17" s="142"/>
      <c r="AT17" s="142"/>
      <c r="AU17" s="142"/>
      <c r="AV17" s="189"/>
      <c r="AW17" s="189"/>
      <c r="AX17" s="189"/>
      <c r="AY17" s="189"/>
      <c r="AZ17" s="189"/>
    </row>
    <row r="18" spans="1:52">
      <c r="A18" s="189"/>
      <c r="B18" s="189"/>
      <c r="C18" s="189"/>
      <c r="D18" s="190"/>
      <c r="E18" s="190"/>
      <c r="F18" s="189"/>
      <c r="G18" s="189"/>
      <c r="H18" s="189"/>
      <c r="I18" s="205" t="s">
        <v>105</v>
      </c>
      <c r="J18" s="206">
        <f t="array" ref="J18">IFERROR(INDEX('Emissions Lookup Table'!$F:$F,MATCH(1,($I18='Emissions Lookup Table'!$A:$A)*(' Emissions Calculator'!J$2='Emissions Lookup Table'!$B:$B),0)),0)</f>
        <v>858.00000000000011</v>
      </c>
      <c r="K18" s="206">
        <f t="array" ref="K18">IFERROR(INDEX('Emissions Lookup Table'!$F:$F,MATCH(1,($I18='Emissions Lookup Table'!$A:$A)*(' Emissions Calculator'!K$2='Emissions Lookup Table'!$B:$B),0)),0)</f>
        <v>858.00000000000011</v>
      </c>
      <c r="L18" s="206">
        <f t="array" ref="L18">IFERROR(INDEX('Emissions Lookup Table'!$F:$F,MATCH(1,($I18='Emissions Lookup Table'!$A:$A)*(' Emissions Calculator'!L$2='Emissions Lookup Table'!$B:$B),0)),0)</f>
        <v>131.4</v>
      </c>
      <c r="M18" s="206">
        <f t="array" ref="M18">IFERROR(INDEX('Emissions Lookup Table'!$F:$F,MATCH(1,($I18='Emissions Lookup Table'!$A:$A)*(' Emissions Calculator'!M$2='Emissions Lookup Table'!$B:$B),0)),0)</f>
        <v>0</v>
      </c>
      <c r="N18" s="206">
        <f t="array" ref="N18">IFERROR(INDEX('Emissions Lookup Table'!$F:$F,MATCH(1,($I18='Emissions Lookup Table'!$A:$A)*(' Emissions Calculator'!N$2='Emissions Lookup Table'!$B:$B),0)),0)</f>
        <v>0</v>
      </c>
      <c r="O18" s="206">
        <f t="array" ref="O18">IFERROR(INDEX('Emissions Lookup Table'!$F:$F,MATCH(1,($I18='Emissions Lookup Table'!$A:$A)*(' Emissions Calculator'!O$2='Emissions Lookup Table'!$B:$B),0)),0)</f>
        <v>0</v>
      </c>
      <c r="P18" s="206">
        <f t="array" ref="P18">IFERROR(INDEX('Emissions Lookup Table'!$F:$F,MATCH(1,($I18='Emissions Lookup Table'!$A:$A)*(' Emissions Calculator'!P$2='Emissions Lookup Table'!$B:$B),0)),0)</f>
        <v>0</v>
      </c>
      <c r="Q18" s="206">
        <f t="array" ref="Q18">IFERROR(INDEX('Emissions Lookup Table'!$F:$F,MATCH(1,($I18='Emissions Lookup Table'!$A:$A)*(' Emissions Calculator'!Q$2='Emissions Lookup Table'!$B:$B),0)),0)</f>
        <v>0</v>
      </c>
      <c r="R18" s="206">
        <f t="array" ref="R18">IFERROR(INDEX('Emissions Lookup Table'!$F:$F,MATCH(1,($I18='Emissions Lookup Table'!$A:$A)*(' Emissions Calculator'!R$2='Emissions Lookup Table'!$B:$B),0)),0)</f>
        <v>0</v>
      </c>
      <c r="S18" s="206">
        <f t="array" ref="S18">IFERROR(INDEX('Emissions Lookup Table'!$F:$F,MATCH(1,($I18='Emissions Lookup Table'!$A:$A)*(' Emissions Calculator'!S$2='Emissions Lookup Table'!$B:$B),0)),0)</f>
        <v>0</v>
      </c>
      <c r="T18" s="189"/>
      <c r="U18" s="205" t="s">
        <v>105</v>
      </c>
      <c r="V18" s="207">
        <f t="shared" si="3"/>
        <v>4504.5000000000009</v>
      </c>
      <c r="W18" s="207">
        <f t="shared" si="4"/>
        <v>68.640000000000015</v>
      </c>
      <c r="X18" s="207">
        <f t="shared" si="5"/>
        <v>12245.166000000001</v>
      </c>
      <c r="Y18" s="207">
        <f t="shared" si="6"/>
        <v>0</v>
      </c>
      <c r="Z18" s="207">
        <f t="shared" si="7"/>
        <v>0</v>
      </c>
      <c r="AA18" s="207">
        <f t="shared" si="8"/>
        <v>0</v>
      </c>
      <c r="AB18" s="207">
        <f t="shared" si="9"/>
        <v>0</v>
      </c>
      <c r="AC18" s="207">
        <f t="shared" si="10"/>
        <v>0</v>
      </c>
      <c r="AD18" s="207">
        <f t="shared" si="11"/>
        <v>0</v>
      </c>
      <c r="AE18" s="207">
        <f t="shared" si="12"/>
        <v>0</v>
      </c>
      <c r="AF18" s="189"/>
      <c r="AG18" s="189"/>
      <c r="AH18" s="142"/>
      <c r="AI18" s="142"/>
      <c r="AJ18" s="142"/>
      <c r="AK18" s="142"/>
      <c r="AL18" s="142"/>
      <c r="AM18" s="142"/>
      <c r="AN18" s="142"/>
      <c r="AO18" s="142"/>
      <c r="AP18" s="142"/>
      <c r="AQ18" s="142"/>
      <c r="AR18" s="142"/>
      <c r="AS18" s="142"/>
      <c r="AT18" s="142"/>
      <c r="AU18" s="142"/>
      <c r="AV18" s="189"/>
      <c r="AW18" s="189"/>
      <c r="AX18" s="189"/>
      <c r="AY18" s="189"/>
      <c r="AZ18" s="189"/>
    </row>
    <row r="19" spans="1:52">
      <c r="A19" s="189"/>
      <c r="B19" s="189"/>
      <c r="C19" s="189"/>
      <c r="D19" s="190"/>
      <c r="E19" s="190"/>
      <c r="F19" s="189"/>
      <c r="G19" s="190"/>
      <c r="H19" s="189"/>
      <c r="I19" s="205" t="s">
        <v>106</v>
      </c>
      <c r="J19" s="206">
        <f t="array" ref="J19">IFERROR(INDEX('Emissions Lookup Table'!$F:$F,MATCH(1,($I19='Emissions Lookup Table'!$A:$A)*(' Emissions Calculator'!J$2='Emissions Lookup Table'!$B:$B),0)),0)</f>
        <v>929.5</v>
      </c>
      <c r="K19" s="206">
        <f t="array" ref="K19">IFERROR(INDEX('Emissions Lookup Table'!$F:$F,MATCH(1,($I19='Emissions Lookup Table'!$A:$A)*(' Emissions Calculator'!K$2='Emissions Lookup Table'!$B:$B),0)),0)</f>
        <v>929.5</v>
      </c>
      <c r="L19" s="206">
        <f t="array" ref="L19">IFERROR(INDEX('Emissions Lookup Table'!$F:$F,MATCH(1,($I19='Emissions Lookup Table'!$A:$A)*(' Emissions Calculator'!L$2='Emissions Lookup Table'!$B:$B),0)),0)</f>
        <v>142.35</v>
      </c>
      <c r="M19" s="206">
        <f t="array" ref="M19">IFERROR(INDEX('Emissions Lookup Table'!$F:$F,MATCH(1,($I19='Emissions Lookup Table'!$A:$A)*(' Emissions Calculator'!M$2='Emissions Lookup Table'!$B:$B),0)),0)</f>
        <v>0</v>
      </c>
      <c r="N19" s="206">
        <f t="array" ref="N19">IFERROR(INDEX('Emissions Lookup Table'!$F:$F,MATCH(1,($I19='Emissions Lookup Table'!$A:$A)*(' Emissions Calculator'!N$2='Emissions Lookup Table'!$B:$B),0)),0)</f>
        <v>0</v>
      </c>
      <c r="O19" s="206">
        <f t="array" ref="O19">IFERROR(INDEX('Emissions Lookup Table'!$F:$F,MATCH(1,($I19='Emissions Lookup Table'!$A:$A)*(' Emissions Calculator'!O$2='Emissions Lookup Table'!$B:$B),0)),0)</f>
        <v>0</v>
      </c>
      <c r="P19" s="206">
        <f t="array" ref="P19">IFERROR(INDEX('Emissions Lookup Table'!$F:$F,MATCH(1,($I19='Emissions Lookup Table'!$A:$A)*(' Emissions Calculator'!P$2='Emissions Lookup Table'!$B:$B),0)),0)</f>
        <v>0</v>
      </c>
      <c r="Q19" s="206">
        <f t="array" ref="Q19">IFERROR(INDEX('Emissions Lookup Table'!$F:$F,MATCH(1,($I19='Emissions Lookup Table'!$A:$A)*(' Emissions Calculator'!Q$2='Emissions Lookup Table'!$B:$B),0)),0)</f>
        <v>0</v>
      </c>
      <c r="R19" s="206">
        <f t="array" ref="R19">IFERROR(INDEX('Emissions Lookup Table'!$F:$F,MATCH(1,($I19='Emissions Lookup Table'!$A:$A)*(' Emissions Calculator'!R$2='Emissions Lookup Table'!$B:$B),0)),0)</f>
        <v>0</v>
      </c>
      <c r="S19" s="206">
        <f t="array" ref="S19">IFERROR(INDEX('Emissions Lookup Table'!$F:$F,MATCH(1,($I19='Emissions Lookup Table'!$A:$A)*(' Emissions Calculator'!S$2='Emissions Lookup Table'!$B:$B),0)),0)</f>
        <v>0</v>
      </c>
      <c r="T19" s="189"/>
      <c r="U19" s="205" t="s">
        <v>106</v>
      </c>
      <c r="V19" s="207">
        <f t="shared" si="3"/>
        <v>4879.875</v>
      </c>
      <c r="W19" s="207">
        <f t="shared" si="4"/>
        <v>74.36</v>
      </c>
      <c r="X19" s="207">
        <f t="shared" si="5"/>
        <v>13265.5965</v>
      </c>
      <c r="Y19" s="207">
        <f t="shared" si="6"/>
        <v>0</v>
      </c>
      <c r="Z19" s="207">
        <f t="shared" si="7"/>
        <v>0</v>
      </c>
      <c r="AA19" s="207">
        <f t="shared" si="8"/>
        <v>0</v>
      </c>
      <c r="AB19" s="207">
        <f t="shared" si="9"/>
        <v>0</v>
      </c>
      <c r="AC19" s="207">
        <f t="shared" si="10"/>
        <v>0</v>
      </c>
      <c r="AD19" s="207">
        <f t="shared" si="11"/>
        <v>0</v>
      </c>
      <c r="AE19" s="207">
        <f t="shared" si="12"/>
        <v>0</v>
      </c>
      <c r="AF19" s="189"/>
      <c r="AG19" s="189"/>
      <c r="AH19" s="142"/>
      <c r="AI19" s="142"/>
      <c r="AJ19" s="142"/>
      <c r="AK19" s="142"/>
      <c r="AL19" s="142"/>
      <c r="AM19" s="142"/>
      <c r="AN19" s="142"/>
      <c r="AO19" s="142"/>
      <c r="AP19" s="142"/>
      <c r="AQ19" s="142"/>
      <c r="AR19" s="142"/>
      <c r="AS19" s="142"/>
      <c r="AT19" s="142"/>
      <c r="AU19" s="142"/>
      <c r="AV19" s="189"/>
      <c r="AW19" s="189"/>
      <c r="AX19" s="189"/>
      <c r="AY19" s="189"/>
      <c r="AZ19" s="189"/>
    </row>
    <row r="20" spans="1:52">
      <c r="A20" s="189"/>
      <c r="B20" s="189"/>
      <c r="C20" s="189"/>
      <c r="D20" s="190"/>
      <c r="E20" s="190"/>
      <c r="F20" s="189"/>
      <c r="G20" s="189"/>
      <c r="H20" s="189"/>
      <c r="I20" s="205" t="s">
        <v>107</v>
      </c>
      <c r="J20" s="206">
        <f t="array" ref="J20">IFERROR(INDEX('Emissions Lookup Table'!$F:$F,MATCH(1,($I20='Emissions Lookup Table'!$A:$A)*(' Emissions Calculator'!J$2='Emissions Lookup Table'!$B:$B),0)),0)</f>
        <v>1000.9999999999999</v>
      </c>
      <c r="K20" s="206">
        <f t="array" ref="K20">IFERROR(INDEX('Emissions Lookup Table'!$F:$F,MATCH(1,($I20='Emissions Lookup Table'!$A:$A)*(' Emissions Calculator'!K$2='Emissions Lookup Table'!$B:$B),0)),0)</f>
        <v>1000.9999999999999</v>
      </c>
      <c r="L20" s="206">
        <f t="array" ref="L20">IFERROR(INDEX('Emissions Lookup Table'!$F:$F,MATCH(1,($I20='Emissions Lookup Table'!$A:$A)*(' Emissions Calculator'!L$2='Emissions Lookup Table'!$B:$B),0)),0)</f>
        <v>153.30000000000001</v>
      </c>
      <c r="M20" s="206">
        <f t="array" ref="M20">IFERROR(INDEX('Emissions Lookup Table'!$F:$F,MATCH(1,($I20='Emissions Lookup Table'!$A:$A)*(' Emissions Calculator'!M$2='Emissions Lookup Table'!$B:$B),0)),0)</f>
        <v>0</v>
      </c>
      <c r="N20" s="206">
        <f t="array" ref="N20">IFERROR(INDEX('Emissions Lookup Table'!$F:$F,MATCH(1,($I20='Emissions Lookup Table'!$A:$A)*(' Emissions Calculator'!N$2='Emissions Lookup Table'!$B:$B),0)),0)</f>
        <v>0</v>
      </c>
      <c r="O20" s="206">
        <f t="array" ref="O20">IFERROR(INDEX('Emissions Lookup Table'!$F:$F,MATCH(1,($I20='Emissions Lookup Table'!$A:$A)*(' Emissions Calculator'!O$2='Emissions Lookup Table'!$B:$B),0)),0)</f>
        <v>0</v>
      </c>
      <c r="P20" s="206">
        <f t="array" ref="P20">IFERROR(INDEX('Emissions Lookup Table'!$F:$F,MATCH(1,($I20='Emissions Lookup Table'!$A:$A)*(' Emissions Calculator'!P$2='Emissions Lookup Table'!$B:$B),0)),0)</f>
        <v>0</v>
      </c>
      <c r="Q20" s="206">
        <f t="array" ref="Q20">IFERROR(INDEX('Emissions Lookup Table'!$F:$F,MATCH(1,($I20='Emissions Lookup Table'!$A:$A)*(' Emissions Calculator'!Q$2='Emissions Lookup Table'!$B:$B),0)),0)</f>
        <v>0</v>
      </c>
      <c r="R20" s="206">
        <f t="array" ref="R20">IFERROR(INDEX('Emissions Lookup Table'!$F:$F,MATCH(1,($I20='Emissions Lookup Table'!$A:$A)*(' Emissions Calculator'!R$2='Emissions Lookup Table'!$B:$B),0)),0)</f>
        <v>0</v>
      </c>
      <c r="S20" s="206">
        <f t="array" ref="S20">IFERROR(INDEX('Emissions Lookup Table'!$F:$F,MATCH(1,($I20='Emissions Lookup Table'!$A:$A)*(' Emissions Calculator'!S$2='Emissions Lookup Table'!$B:$B),0)),0)</f>
        <v>0</v>
      </c>
      <c r="T20" s="189"/>
      <c r="U20" s="205" t="s">
        <v>107</v>
      </c>
      <c r="V20" s="207">
        <f t="shared" si="3"/>
        <v>5255.2499999999991</v>
      </c>
      <c r="W20" s="207">
        <f t="shared" si="4"/>
        <v>80.08</v>
      </c>
      <c r="X20" s="207">
        <f t="shared" si="5"/>
        <v>14286.027</v>
      </c>
      <c r="Y20" s="207">
        <f t="shared" si="6"/>
        <v>0</v>
      </c>
      <c r="Z20" s="207">
        <f t="shared" si="7"/>
        <v>0</v>
      </c>
      <c r="AA20" s="207">
        <f t="shared" si="8"/>
        <v>0</v>
      </c>
      <c r="AB20" s="207">
        <f t="shared" si="9"/>
        <v>0</v>
      </c>
      <c r="AC20" s="207">
        <f t="shared" si="10"/>
        <v>0</v>
      </c>
      <c r="AD20" s="207">
        <f t="shared" si="11"/>
        <v>0</v>
      </c>
      <c r="AE20" s="207">
        <f t="shared" si="12"/>
        <v>0</v>
      </c>
      <c r="AF20" s="189"/>
      <c r="AG20" s="189"/>
      <c r="AH20" s="142"/>
      <c r="AI20" s="142"/>
      <c r="AJ20" s="142"/>
      <c r="AK20" s="142"/>
      <c r="AL20" s="142"/>
      <c r="AM20" s="142"/>
      <c r="AN20" s="142"/>
      <c r="AO20" s="142"/>
      <c r="AP20" s="142"/>
      <c r="AQ20" s="142"/>
      <c r="AR20" s="142"/>
      <c r="AS20" s="142"/>
      <c r="AT20" s="142"/>
      <c r="AU20" s="142"/>
      <c r="AV20" s="189"/>
      <c r="AW20" s="189"/>
      <c r="AX20" s="189"/>
      <c r="AY20" s="189"/>
      <c r="AZ20" s="189"/>
    </row>
    <row r="21" spans="1:52">
      <c r="A21" s="199"/>
      <c r="B21" s="209"/>
      <c r="C21" s="189"/>
      <c r="D21" s="190"/>
      <c r="E21" s="190"/>
      <c r="F21" s="189"/>
      <c r="G21" s="189"/>
      <c r="H21" s="189"/>
      <c r="I21" s="205" t="s">
        <v>108</v>
      </c>
      <c r="J21" s="206">
        <f t="array" ref="J21">IFERROR(INDEX('Emissions Lookup Table'!$F:$F,MATCH(1,($I21='Emissions Lookup Table'!$A:$A)*(' Emissions Calculator'!J$2='Emissions Lookup Table'!$B:$B),0)),0)</f>
        <v>1072.4999999999998</v>
      </c>
      <c r="K21" s="206">
        <f t="array" ref="K21">IFERROR(INDEX('Emissions Lookup Table'!$F:$F,MATCH(1,($I21='Emissions Lookup Table'!$A:$A)*(' Emissions Calculator'!K$2='Emissions Lookup Table'!$B:$B),0)),0)</f>
        <v>1072.4999999999998</v>
      </c>
      <c r="L21" s="206">
        <f t="array" ref="L21">IFERROR(INDEX('Emissions Lookup Table'!$F:$F,MATCH(1,($I21='Emissions Lookup Table'!$A:$A)*(' Emissions Calculator'!L$2='Emissions Lookup Table'!$B:$B),0)),0)</f>
        <v>164.25000000000003</v>
      </c>
      <c r="M21" s="206">
        <f t="array" ref="M21">IFERROR(INDEX('Emissions Lookup Table'!$F:$F,MATCH(1,($I21='Emissions Lookup Table'!$A:$A)*(' Emissions Calculator'!M$2='Emissions Lookup Table'!$B:$B),0)),0)</f>
        <v>0</v>
      </c>
      <c r="N21" s="206">
        <f t="array" ref="N21">IFERROR(INDEX('Emissions Lookup Table'!$F:$F,MATCH(1,($I21='Emissions Lookup Table'!$A:$A)*(' Emissions Calculator'!N$2='Emissions Lookup Table'!$B:$B),0)),0)</f>
        <v>0</v>
      </c>
      <c r="O21" s="206">
        <f t="array" ref="O21">IFERROR(INDEX('Emissions Lookup Table'!$F:$F,MATCH(1,($I21='Emissions Lookup Table'!$A:$A)*(' Emissions Calculator'!O$2='Emissions Lookup Table'!$B:$B),0)),0)</f>
        <v>0</v>
      </c>
      <c r="P21" s="206">
        <f t="array" ref="P21">IFERROR(INDEX('Emissions Lookup Table'!$F:$F,MATCH(1,($I21='Emissions Lookup Table'!$A:$A)*(' Emissions Calculator'!P$2='Emissions Lookup Table'!$B:$B),0)),0)</f>
        <v>0</v>
      </c>
      <c r="Q21" s="206">
        <f t="array" ref="Q21">IFERROR(INDEX('Emissions Lookup Table'!$F:$F,MATCH(1,($I21='Emissions Lookup Table'!$A:$A)*(' Emissions Calculator'!Q$2='Emissions Lookup Table'!$B:$B),0)),0)</f>
        <v>0</v>
      </c>
      <c r="R21" s="206">
        <f t="array" ref="R21">IFERROR(INDEX('Emissions Lookup Table'!$F:$F,MATCH(1,($I21='Emissions Lookup Table'!$A:$A)*(' Emissions Calculator'!R$2='Emissions Lookup Table'!$B:$B),0)),0)</f>
        <v>0</v>
      </c>
      <c r="S21" s="206">
        <f t="array" ref="S21">IFERROR(INDEX('Emissions Lookup Table'!$F:$F,MATCH(1,($I21='Emissions Lookup Table'!$A:$A)*(' Emissions Calculator'!S$2='Emissions Lookup Table'!$B:$B),0)),0)</f>
        <v>0</v>
      </c>
      <c r="T21" s="189"/>
      <c r="U21" s="205" t="s">
        <v>108</v>
      </c>
      <c r="V21" s="207">
        <f t="shared" si="3"/>
        <v>5630.6249999999991</v>
      </c>
      <c r="W21" s="207">
        <f t="shared" si="4"/>
        <v>85.799999999999983</v>
      </c>
      <c r="X21" s="207">
        <f t="shared" si="5"/>
        <v>15306.457500000002</v>
      </c>
      <c r="Y21" s="207">
        <f t="shared" si="6"/>
        <v>0</v>
      </c>
      <c r="Z21" s="207">
        <f t="shared" si="7"/>
        <v>0</v>
      </c>
      <c r="AA21" s="207">
        <f t="shared" si="8"/>
        <v>0</v>
      </c>
      <c r="AB21" s="207">
        <f t="shared" si="9"/>
        <v>0</v>
      </c>
      <c r="AC21" s="207">
        <f t="shared" si="10"/>
        <v>0</v>
      </c>
      <c r="AD21" s="207">
        <f t="shared" si="11"/>
        <v>0</v>
      </c>
      <c r="AE21" s="207">
        <f t="shared" si="12"/>
        <v>0</v>
      </c>
      <c r="AF21" s="189"/>
      <c r="AG21" s="189"/>
      <c r="AH21" s="142"/>
      <c r="AI21" s="142"/>
      <c r="AJ21" s="142"/>
      <c r="AK21" s="142"/>
      <c r="AL21" s="142"/>
      <c r="AM21" s="142"/>
      <c r="AN21" s="142"/>
      <c r="AO21" s="142"/>
      <c r="AP21" s="142"/>
      <c r="AQ21" s="142"/>
      <c r="AR21" s="142"/>
      <c r="AS21" s="142"/>
      <c r="AT21" s="142"/>
      <c r="AU21" s="142"/>
      <c r="AV21" s="189"/>
      <c r="AW21" s="189"/>
      <c r="AX21" s="189"/>
      <c r="AY21" s="189"/>
      <c r="AZ21" s="189"/>
    </row>
    <row r="22" spans="1:52">
      <c r="A22" s="189"/>
      <c r="B22" s="189"/>
      <c r="C22" s="189"/>
      <c r="D22" s="190"/>
      <c r="E22" s="190"/>
      <c r="F22" s="189"/>
      <c r="G22" s="189"/>
      <c r="H22" s="189"/>
      <c r="I22" s="205" t="s">
        <v>109</v>
      </c>
      <c r="J22" s="206">
        <f t="array" ref="J22">IFERROR(INDEX('Emissions Lookup Table'!$F:$F,MATCH(1,($I22='Emissions Lookup Table'!$A:$A)*(' Emissions Calculator'!J$2='Emissions Lookup Table'!$B:$B),0)),0)</f>
        <v>1143.9999999999998</v>
      </c>
      <c r="K22" s="206">
        <f t="array" ref="K22">IFERROR(INDEX('Emissions Lookup Table'!$F:$F,MATCH(1,($I22='Emissions Lookup Table'!$A:$A)*(' Emissions Calculator'!K$2='Emissions Lookup Table'!$B:$B),0)),0)</f>
        <v>1143.9999999999998</v>
      </c>
      <c r="L22" s="206">
        <f t="array" ref="L22">IFERROR(INDEX('Emissions Lookup Table'!$F:$F,MATCH(1,($I22='Emissions Lookup Table'!$A:$A)*(' Emissions Calculator'!L$2='Emissions Lookup Table'!$B:$B),0)),0)</f>
        <v>175.20000000000005</v>
      </c>
      <c r="M22" s="206">
        <f t="array" ref="M22">IFERROR(INDEX('Emissions Lookup Table'!$F:$F,MATCH(1,($I22='Emissions Lookup Table'!$A:$A)*(' Emissions Calculator'!M$2='Emissions Lookup Table'!$B:$B),0)),0)</f>
        <v>0</v>
      </c>
      <c r="N22" s="206">
        <f t="array" ref="N22">IFERROR(INDEX('Emissions Lookup Table'!$F:$F,MATCH(1,($I22='Emissions Lookup Table'!$A:$A)*(' Emissions Calculator'!N$2='Emissions Lookup Table'!$B:$B),0)),0)</f>
        <v>0</v>
      </c>
      <c r="O22" s="206">
        <f t="array" ref="O22">IFERROR(INDEX('Emissions Lookup Table'!$F:$F,MATCH(1,($I22='Emissions Lookup Table'!$A:$A)*(' Emissions Calculator'!O$2='Emissions Lookup Table'!$B:$B),0)),0)</f>
        <v>0</v>
      </c>
      <c r="P22" s="206">
        <f t="array" ref="P22">IFERROR(INDEX('Emissions Lookup Table'!$F:$F,MATCH(1,($I22='Emissions Lookup Table'!$A:$A)*(' Emissions Calculator'!P$2='Emissions Lookup Table'!$B:$B),0)),0)</f>
        <v>0</v>
      </c>
      <c r="Q22" s="206">
        <f t="array" ref="Q22">IFERROR(INDEX('Emissions Lookup Table'!$F:$F,MATCH(1,($I22='Emissions Lookup Table'!$A:$A)*(' Emissions Calculator'!Q$2='Emissions Lookup Table'!$B:$B),0)),0)</f>
        <v>0</v>
      </c>
      <c r="R22" s="206">
        <f t="array" ref="R22">IFERROR(INDEX('Emissions Lookup Table'!$F:$F,MATCH(1,($I22='Emissions Lookup Table'!$A:$A)*(' Emissions Calculator'!R$2='Emissions Lookup Table'!$B:$B),0)),0)</f>
        <v>0</v>
      </c>
      <c r="S22" s="206">
        <f t="array" ref="S22">IFERROR(INDEX('Emissions Lookup Table'!$F:$F,MATCH(1,($I22='Emissions Lookup Table'!$A:$A)*(' Emissions Calculator'!S$2='Emissions Lookup Table'!$B:$B),0)),0)</f>
        <v>0</v>
      </c>
      <c r="T22" s="189"/>
      <c r="U22" s="205" t="s">
        <v>109</v>
      </c>
      <c r="V22" s="207">
        <f t="shared" si="3"/>
        <v>6005.9999999999991</v>
      </c>
      <c r="W22" s="207">
        <f t="shared" si="4"/>
        <v>91.519999999999982</v>
      </c>
      <c r="X22" s="207">
        <f t="shared" si="5"/>
        <v>16326.888000000004</v>
      </c>
      <c r="Y22" s="207">
        <f t="shared" si="6"/>
        <v>0</v>
      </c>
      <c r="Z22" s="207">
        <f t="shared" si="7"/>
        <v>0</v>
      </c>
      <c r="AA22" s="207">
        <f t="shared" si="8"/>
        <v>0</v>
      </c>
      <c r="AB22" s="207">
        <f t="shared" si="9"/>
        <v>0</v>
      </c>
      <c r="AC22" s="207">
        <f t="shared" si="10"/>
        <v>0</v>
      </c>
      <c r="AD22" s="207">
        <f t="shared" si="11"/>
        <v>0</v>
      </c>
      <c r="AE22" s="207">
        <f t="shared" si="12"/>
        <v>0</v>
      </c>
      <c r="AF22" s="189"/>
      <c r="AG22" s="189"/>
      <c r="AH22" s="142"/>
      <c r="AI22" s="142"/>
      <c r="AJ22" s="142"/>
      <c r="AK22" s="142"/>
      <c r="AL22" s="142"/>
      <c r="AM22" s="142"/>
      <c r="AN22" s="142"/>
      <c r="AO22" s="142"/>
      <c r="AP22" s="142"/>
      <c r="AQ22" s="142"/>
      <c r="AR22" s="142"/>
      <c r="AS22" s="142"/>
      <c r="AT22" s="142"/>
      <c r="AU22" s="142"/>
      <c r="AV22" s="189"/>
      <c r="AW22" s="189"/>
      <c r="AX22" s="189"/>
      <c r="AY22" s="189"/>
      <c r="AZ22" s="189"/>
    </row>
    <row r="23" spans="1:52">
      <c r="A23" s="189"/>
      <c r="B23" s="189"/>
      <c r="C23" s="189"/>
      <c r="D23" s="190"/>
      <c r="E23" s="190"/>
      <c r="F23" s="189"/>
      <c r="G23" s="189"/>
      <c r="H23" s="189"/>
      <c r="I23" s="205" t="s">
        <v>110</v>
      </c>
      <c r="J23" s="206">
        <f t="array" ref="J23">IFERROR(INDEX('Emissions Lookup Table'!$F:$F,MATCH(1,($I23='Emissions Lookup Table'!$A:$A)*(' Emissions Calculator'!J$2='Emissions Lookup Table'!$B:$B),0)),0)</f>
        <v>1215.4999999999995</v>
      </c>
      <c r="K23" s="206">
        <f t="array" ref="K23">IFERROR(INDEX('Emissions Lookup Table'!$F:$F,MATCH(1,($I23='Emissions Lookup Table'!$A:$A)*(' Emissions Calculator'!K$2='Emissions Lookup Table'!$B:$B),0)),0)</f>
        <v>1215.4999999999995</v>
      </c>
      <c r="L23" s="206">
        <f t="array" ref="L23">IFERROR(INDEX('Emissions Lookup Table'!$F:$F,MATCH(1,($I23='Emissions Lookup Table'!$A:$A)*(' Emissions Calculator'!L$2='Emissions Lookup Table'!$B:$B),0)),0)</f>
        <v>186.15000000000003</v>
      </c>
      <c r="M23" s="206">
        <f t="array" ref="M23">IFERROR(INDEX('Emissions Lookup Table'!$F:$F,MATCH(1,($I23='Emissions Lookup Table'!$A:$A)*(' Emissions Calculator'!M$2='Emissions Lookup Table'!$B:$B),0)),0)</f>
        <v>0</v>
      </c>
      <c r="N23" s="206">
        <f t="array" ref="N23">IFERROR(INDEX('Emissions Lookup Table'!$F:$F,MATCH(1,($I23='Emissions Lookup Table'!$A:$A)*(' Emissions Calculator'!N$2='Emissions Lookup Table'!$B:$B),0)),0)</f>
        <v>0</v>
      </c>
      <c r="O23" s="206">
        <f t="array" ref="O23">IFERROR(INDEX('Emissions Lookup Table'!$F:$F,MATCH(1,($I23='Emissions Lookup Table'!$A:$A)*(' Emissions Calculator'!O$2='Emissions Lookup Table'!$B:$B),0)),0)</f>
        <v>0</v>
      </c>
      <c r="P23" s="206">
        <f t="array" ref="P23">IFERROR(INDEX('Emissions Lookup Table'!$F:$F,MATCH(1,($I23='Emissions Lookup Table'!$A:$A)*(' Emissions Calculator'!P$2='Emissions Lookup Table'!$B:$B),0)),0)</f>
        <v>0</v>
      </c>
      <c r="Q23" s="206">
        <f t="array" ref="Q23">IFERROR(INDEX('Emissions Lookup Table'!$F:$F,MATCH(1,($I23='Emissions Lookup Table'!$A:$A)*(' Emissions Calculator'!Q$2='Emissions Lookup Table'!$B:$B),0)),0)</f>
        <v>0</v>
      </c>
      <c r="R23" s="206">
        <f t="array" ref="R23">IFERROR(INDEX('Emissions Lookup Table'!$F:$F,MATCH(1,($I23='Emissions Lookup Table'!$A:$A)*(' Emissions Calculator'!R$2='Emissions Lookup Table'!$B:$B),0)),0)</f>
        <v>0</v>
      </c>
      <c r="S23" s="206">
        <f t="array" ref="S23">IFERROR(INDEX('Emissions Lookup Table'!$F:$F,MATCH(1,($I23='Emissions Lookup Table'!$A:$A)*(' Emissions Calculator'!S$2='Emissions Lookup Table'!$B:$B),0)),0)</f>
        <v>0</v>
      </c>
      <c r="T23" s="189"/>
      <c r="U23" s="205" t="s">
        <v>110</v>
      </c>
      <c r="V23" s="207">
        <f t="shared" si="3"/>
        <v>6381.3749999999973</v>
      </c>
      <c r="W23" s="207">
        <f t="shared" si="4"/>
        <v>97.239999999999966</v>
      </c>
      <c r="X23" s="207">
        <f t="shared" si="5"/>
        <v>17347.318500000001</v>
      </c>
      <c r="Y23" s="207">
        <f t="shared" si="6"/>
        <v>0</v>
      </c>
      <c r="Z23" s="207">
        <f t="shared" si="7"/>
        <v>0</v>
      </c>
      <c r="AA23" s="207">
        <f t="shared" si="8"/>
        <v>0</v>
      </c>
      <c r="AB23" s="207">
        <f t="shared" si="9"/>
        <v>0</v>
      </c>
      <c r="AC23" s="207">
        <f t="shared" si="10"/>
        <v>0</v>
      </c>
      <c r="AD23" s="207">
        <f t="shared" si="11"/>
        <v>0</v>
      </c>
      <c r="AE23" s="207">
        <f t="shared" si="12"/>
        <v>0</v>
      </c>
      <c r="AF23" s="189"/>
      <c r="AG23" s="189"/>
      <c r="AH23" s="142"/>
      <c r="AI23" s="142"/>
      <c r="AJ23" s="142"/>
      <c r="AK23" s="142"/>
      <c r="AL23" s="142"/>
      <c r="AM23" s="142"/>
      <c r="AN23" s="142"/>
      <c r="AO23" s="142"/>
      <c r="AP23" s="142"/>
      <c r="AQ23" s="142"/>
      <c r="AR23" s="142"/>
      <c r="AS23" s="142"/>
      <c r="AT23" s="142"/>
      <c r="AU23" s="142"/>
      <c r="AV23" s="189"/>
      <c r="AW23" s="189"/>
      <c r="AX23" s="189"/>
      <c r="AY23" s="189"/>
      <c r="AZ23" s="189"/>
    </row>
    <row r="24" spans="1:52">
      <c r="A24" s="189"/>
      <c r="B24" s="189"/>
      <c r="C24" s="189"/>
      <c r="D24" s="190"/>
      <c r="E24" s="190"/>
      <c r="F24" s="189"/>
      <c r="G24" s="189"/>
      <c r="H24" s="189"/>
      <c r="I24" s="205" t="s">
        <v>111</v>
      </c>
      <c r="J24" s="206">
        <f t="array" ref="J24">IFERROR(INDEX('Emissions Lookup Table'!$F:$F,MATCH(1,($I24='Emissions Lookup Table'!$A:$A)*(' Emissions Calculator'!J$2='Emissions Lookup Table'!$B:$B),0)),0)</f>
        <v>1286.9999999999995</v>
      </c>
      <c r="K24" s="206">
        <f t="array" ref="K24">IFERROR(INDEX('Emissions Lookup Table'!$F:$F,MATCH(1,($I24='Emissions Lookup Table'!$A:$A)*(' Emissions Calculator'!K$2='Emissions Lookup Table'!$B:$B),0)),0)</f>
        <v>1286.9999999999995</v>
      </c>
      <c r="L24" s="206">
        <f t="array" ref="L24">IFERROR(INDEX('Emissions Lookup Table'!$F:$F,MATCH(1,($I24='Emissions Lookup Table'!$A:$A)*(' Emissions Calculator'!L$2='Emissions Lookup Table'!$B:$B),0)),0)</f>
        <v>197.10000000000005</v>
      </c>
      <c r="M24" s="206">
        <f t="array" ref="M24">IFERROR(INDEX('Emissions Lookup Table'!$F:$F,MATCH(1,($I24='Emissions Lookup Table'!$A:$A)*(' Emissions Calculator'!M$2='Emissions Lookup Table'!$B:$B),0)),0)</f>
        <v>0</v>
      </c>
      <c r="N24" s="206">
        <f t="array" ref="N24">IFERROR(INDEX('Emissions Lookup Table'!$F:$F,MATCH(1,($I24='Emissions Lookup Table'!$A:$A)*(' Emissions Calculator'!N$2='Emissions Lookup Table'!$B:$B),0)),0)</f>
        <v>0</v>
      </c>
      <c r="O24" s="206">
        <f t="array" ref="O24">IFERROR(INDEX('Emissions Lookup Table'!$F:$F,MATCH(1,($I24='Emissions Lookup Table'!$A:$A)*(' Emissions Calculator'!O$2='Emissions Lookup Table'!$B:$B),0)),0)</f>
        <v>0</v>
      </c>
      <c r="P24" s="206">
        <f t="array" ref="P24">IFERROR(INDEX('Emissions Lookup Table'!$F:$F,MATCH(1,($I24='Emissions Lookup Table'!$A:$A)*(' Emissions Calculator'!P$2='Emissions Lookup Table'!$B:$B),0)),0)</f>
        <v>0</v>
      </c>
      <c r="Q24" s="206">
        <f t="array" ref="Q24">IFERROR(INDEX('Emissions Lookup Table'!$F:$F,MATCH(1,($I24='Emissions Lookup Table'!$A:$A)*(' Emissions Calculator'!Q$2='Emissions Lookup Table'!$B:$B),0)),0)</f>
        <v>0</v>
      </c>
      <c r="R24" s="206">
        <f t="array" ref="R24">IFERROR(INDEX('Emissions Lookup Table'!$F:$F,MATCH(1,($I24='Emissions Lookup Table'!$A:$A)*(' Emissions Calculator'!R$2='Emissions Lookup Table'!$B:$B),0)),0)</f>
        <v>0</v>
      </c>
      <c r="S24" s="206">
        <f t="array" ref="S24">IFERROR(INDEX('Emissions Lookup Table'!$F:$F,MATCH(1,($I24='Emissions Lookup Table'!$A:$A)*(' Emissions Calculator'!S$2='Emissions Lookup Table'!$B:$B),0)),0)</f>
        <v>0</v>
      </c>
      <c r="T24" s="189"/>
      <c r="U24" s="205" t="s">
        <v>111</v>
      </c>
      <c r="V24" s="207">
        <f t="shared" si="3"/>
        <v>6756.7499999999973</v>
      </c>
      <c r="W24" s="207">
        <f t="shared" si="4"/>
        <v>102.95999999999997</v>
      </c>
      <c r="X24" s="207">
        <f t="shared" si="5"/>
        <v>18367.749000000003</v>
      </c>
      <c r="Y24" s="207">
        <f t="shared" si="6"/>
        <v>0</v>
      </c>
      <c r="Z24" s="207">
        <f t="shared" si="7"/>
        <v>0</v>
      </c>
      <c r="AA24" s="207">
        <f t="shared" si="8"/>
        <v>0</v>
      </c>
      <c r="AB24" s="207">
        <f t="shared" si="9"/>
        <v>0</v>
      </c>
      <c r="AC24" s="207">
        <f t="shared" si="10"/>
        <v>0</v>
      </c>
      <c r="AD24" s="207">
        <f t="shared" si="11"/>
        <v>0</v>
      </c>
      <c r="AE24" s="207">
        <f t="shared" si="12"/>
        <v>0</v>
      </c>
      <c r="AF24" s="189"/>
      <c r="AG24" s="189"/>
      <c r="AH24" s="142"/>
      <c r="AI24" s="142"/>
      <c r="AJ24" s="142"/>
      <c r="AK24" s="142"/>
      <c r="AL24" s="142"/>
      <c r="AM24" s="142"/>
      <c r="AN24" s="142"/>
      <c r="AO24" s="142"/>
      <c r="AP24" s="142"/>
      <c r="AQ24" s="142"/>
      <c r="AR24" s="142"/>
      <c r="AS24" s="142"/>
      <c r="AT24" s="142"/>
      <c r="AU24" s="142"/>
      <c r="AV24" s="189"/>
      <c r="AW24" s="189"/>
      <c r="AX24" s="189"/>
      <c r="AY24" s="189"/>
      <c r="AZ24" s="189"/>
    </row>
    <row r="25" spans="1:52">
      <c r="A25" s="189"/>
      <c r="B25" s="189"/>
      <c r="C25" s="189"/>
      <c r="D25" s="190"/>
      <c r="E25" s="190"/>
      <c r="F25" s="189"/>
      <c r="G25" s="189"/>
      <c r="H25" s="189"/>
      <c r="I25" s="205" t="s">
        <v>112</v>
      </c>
      <c r="J25" s="206">
        <f t="array" ref="J25">IFERROR(INDEX('Emissions Lookup Table'!$F:$F,MATCH(1,($I25='Emissions Lookup Table'!$A:$A)*(' Emissions Calculator'!J$2='Emissions Lookup Table'!$B:$B),0)),0)</f>
        <v>1358.4999999999993</v>
      </c>
      <c r="K25" s="206">
        <f t="array" ref="K25">IFERROR(INDEX('Emissions Lookup Table'!$F:$F,MATCH(1,($I25='Emissions Lookup Table'!$A:$A)*(' Emissions Calculator'!K$2='Emissions Lookup Table'!$B:$B),0)),0)</f>
        <v>1358.4999999999993</v>
      </c>
      <c r="L25" s="206">
        <f t="array" ref="L25">IFERROR(INDEX('Emissions Lookup Table'!$F:$F,MATCH(1,($I25='Emissions Lookup Table'!$A:$A)*(' Emissions Calculator'!L$2='Emissions Lookup Table'!$B:$B),0)),0)</f>
        <v>208.05000000000007</v>
      </c>
      <c r="M25" s="206">
        <f t="array" ref="M25">IFERROR(INDEX('Emissions Lookup Table'!$F:$F,MATCH(1,($I25='Emissions Lookup Table'!$A:$A)*(' Emissions Calculator'!M$2='Emissions Lookup Table'!$B:$B),0)),0)</f>
        <v>0</v>
      </c>
      <c r="N25" s="206">
        <f t="array" ref="N25">IFERROR(INDEX('Emissions Lookup Table'!$F:$F,MATCH(1,($I25='Emissions Lookup Table'!$A:$A)*(' Emissions Calculator'!N$2='Emissions Lookup Table'!$B:$B),0)),0)</f>
        <v>0</v>
      </c>
      <c r="O25" s="206">
        <f t="array" ref="O25">IFERROR(INDEX('Emissions Lookup Table'!$F:$F,MATCH(1,($I25='Emissions Lookup Table'!$A:$A)*(' Emissions Calculator'!O$2='Emissions Lookup Table'!$B:$B),0)),0)</f>
        <v>0</v>
      </c>
      <c r="P25" s="206">
        <f t="array" ref="P25">IFERROR(INDEX('Emissions Lookup Table'!$F:$F,MATCH(1,($I25='Emissions Lookup Table'!$A:$A)*(' Emissions Calculator'!P$2='Emissions Lookup Table'!$B:$B),0)),0)</f>
        <v>0</v>
      </c>
      <c r="Q25" s="206">
        <f t="array" ref="Q25">IFERROR(INDEX('Emissions Lookup Table'!$F:$F,MATCH(1,($I25='Emissions Lookup Table'!$A:$A)*(' Emissions Calculator'!Q$2='Emissions Lookup Table'!$B:$B),0)),0)</f>
        <v>0</v>
      </c>
      <c r="R25" s="206">
        <f t="array" ref="R25">IFERROR(INDEX('Emissions Lookup Table'!$F:$F,MATCH(1,($I25='Emissions Lookup Table'!$A:$A)*(' Emissions Calculator'!R$2='Emissions Lookup Table'!$B:$B),0)),0)</f>
        <v>0</v>
      </c>
      <c r="S25" s="206">
        <f t="array" ref="S25">IFERROR(INDEX('Emissions Lookup Table'!$F:$F,MATCH(1,($I25='Emissions Lookup Table'!$A:$A)*(' Emissions Calculator'!S$2='Emissions Lookup Table'!$B:$B),0)),0)</f>
        <v>0</v>
      </c>
      <c r="T25" s="189"/>
      <c r="U25" s="205" t="s">
        <v>112</v>
      </c>
      <c r="V25" s="207">
        <f t="shared" si="3"/>
        <v>7132.1249999999964</v>
      </c>
      <c r="W25" s="207">
        <f t="shared" si="4"/>
        <v>108.67999999999995</v>
      </c>
      <c r="X25" s="207">
        <f t="shared" si="5"/>
        <v>19388.179500000006</v>
      </c>
      <c r="Y25" s="207">
        <f t="shared" si="6"/>
        <v>0</v>
      </c>
      <c r="Z25" s="207">
        <f t="shared" si="7"/>
        <v>0</v>
      </c>
      <c r="AA25" s="207">
        <f t="shared" si="8"/>
        <v>0</v>
      </c>
      <c r="AB25" s="207">
        <f t="shared" si="9"/>
        <v>0</v>
      </c>
      <c r="AC25" s="207">
        <f t="shared" si="10"/>
        <v>0</v>
      </c>
      <c r="AD25" s="207">
        <f t="shared" si="11"/>
        <v>0</v>
      </c>
      <c r="AE25" s="207">
        <f t="shared" si="12"/>
        <v>0</v>
      </c>
      <c r="AF25" s="189"/>
      <c r="AG25" s="189"/>
      <c r="AH25" s="142"/>
      <c r="AI25" s="142"/>
      <c r="AJ25" s="142"/>
      <c r="AK25" s="142"/>
      <c r="AL25" s="142"/>
      <c r="AM25" s="142"/>
      <c r="AN25" s="142"/>
      <c r="AO25" s="142"/>
      <c r="AP25" s="142"/>
      <c r="AQ25" s="142"/>
      <c r="AR25" s="142"/>
      <c r="AS25" s="142"/>
      <c r="AT25" s="142"/>
      <c r="AU25" s="142"/>
      <c r="AV25" s="189"/>
      <c r="AW25" s="189"/>
      <c r="AX25" s="189"/>
      <c r="AY25" s="189"/>
      <c r="AZ25" s="189"/>
    </row>
    <row r="26" spans="1:52">
      <c r="A26" s="189"/>
      <c r="B26" s="189"/>
      <c r="C26" s="189"/>
      <c r="D26" s="190"/>
      <c r="E26" s="190"/>
      <c r="F26" s="189"/>
      <c r="G26" s="189"/>
      <c r="H26" s="189"/>
      <c r="I26" s="205" t="s">
        <v>113</v>
      </c>
      <c r="J26" s="206">
        <f t="array" ref="J26">IFERROR(INDEX('Emissions Lookup Table'!$F:$F,MATCH(1,($I26='Emissions Lookup Table'!$A:$A)*(' Emissions Calculator'!J$2='Emissions Lookup Table'!$B:$B),0)),0)</f>
        <v>1429.9999999999993</v>
      </c>
      <c r="K26" s="206">
        <f t="array" ref="K26">IFERROR(INDEX('Emissions Lookup Table'!$F:$F,MATCH(1,($I26='Emissions Lookup Table'!$A:$A)*(' Emissions Calculator'!K$2='Emissions Lookup Table'!$B:$B),0)),0)</f>
        <v>1429.9999999999993</v>
      </c>
      <c r="L26" s="206">
        <f t="array" ref="L26">IFERROR(INDEX('Emissions Lookup Table'!$F:$F,MATCH(1,($I26='Emissions Lookup Table'!$A:$A)*(' Emissions Calculator'!L$2='Emissions Lookup Table'!$B:$B),0)),0)</f>
        <v>219.00000000000009</v>
      </c>
      <c r="M26" s="206">
        <f t="array" ref="M26">IFERROR(INDEX('Emissions Lookup Table'!$F:$F,MATCH(1,($I26='Emissions Lookup Table'!$A:$A)*(' Emissions Calculator'!M$2='Emissions Lookup Table'!$B:$B),0)),0)</f>
        <v>0</v>
      </c>
      <c r="N26" s="206">
        <f t="array" ref="N26">IFERROR(INDEX('Emissions Lookup Table'!$F:$F,MATCH(1,($I26='Emissions Lookup Table'!$A:$A)*(' Emissions Calculator'!N$2='Emissions Lookup Table'!$B:$B),0)),0)</f>
        <v>0</v>
      </c>
      <c r="O26" s="206">
        <f t="array" ref="O26">IFERROR(INDEX('Emissions Lookup Table'!$F:$F,MATCH(1,($I26='Emissions Lookup Table'!$A:$A)*(' Emissions Calculator'!O$2='Emissions Lookup Table'!$B:$B),0)),0)</f>
        <v>0</v>
      </c>
      <c r="P26" s="206">
        <f t="array" ref="P26">IFERROR(INDEX('Emissions Lookup Table'!$F:$F,MATCH(1,($I26='Emissions Lookup Table'!$A:$A)*(' Emissions Calculator'!P$2='Emissions Lookup Table'!$B:$B),0)),0)</f>
        <v>0</v>
      </c>
      <c r="Q26" s="206">
        <f t="array" ref="Q26">IFERROR(INDEX('Emissions Lookup Table'!$F:$F,MATCH(1,($I26='Emissions Lookup Table'!$A:$A)*(' Emissions Calculator'!Q$2='Emissions Lookup Table'!$B:$B),0)),0)</f>
        <v>0</v>
      </c>
      <c r="R26" s="206">
        <f t="array" ref="R26">IFERROR(INDEX('Emissions Lookup Table'!$F:$F,MATCH(1,($I26='Emissions Lookup Table'!$A:$A)*(' Emissions Calculator'!R$2='Emissions Lookup Table'!$B:$B),0)),0)</f>
        <v>0</v>
      </c>
      <c r="S26" s="206">
        <f t="array" ref="S26">IFERROR(INDEX('Emissions Lookup Table'!$F:$F,MATCH(1,($I26='Emissions Lookup Table'!$A:$A)*(' Emissions Calculator'!S$2='Emissions Lookup Table'!$B:$B),0)),0)</f>
        <v>0</v>
      </c>
      <c r="T26" s="189"/>
      <c r="U26" s="210" t="s">
        <v>113</v>
      </c>
      <c r="V26" s="211">
        <f t="shared" si="3"/>
        <v>7507.4999999999964</v>
      </c>
      <c r="W26" s="211">
        <f t="shared" si="4"/>
        <v>114.39999999999995</v>
      </c>
      <c r="X26" s="211">
        <f t="shared" si="5"/>
        <v>20408.610000000008</v>
      </c>
      <c r="Y26" s="211">
        <f t="shared" si="6"/>
        <v>0</v>
      </c>
      <c r="Z26" s="211">
        <f t="shared" si="7"/>
        <v>0</v>
      </c>
      <c r="AA26" s="211">
        <f t="shared" si="8"/>
        <v>0</v>
      </c>
      <c r="AB26" s="211">
        <f t="shared" si="9"/>
        <v>0</v>
      </c>
      <c r="AC26" s="211">
        <f t="shared" si="10"/>
        <v>0</v>
      </c>
      <c r="AD26" s="211">
        <f t="shared" si="11"/>
        <v>0</v>
      </c>
      <c r="AE26" s="211">
        <f t="shared" si="12"/>
        <v>0</v>
      </c>
      <c r="AF26" s="189"/>
      <c r="AG26" s="189"/>
      <c r="AH26" s="142"/>
      <c r="AI26" s="142"/>
      <c r="AJ26" s="142"/>
      <c r="AK26" s="142"/>
      <c r="AL26" s="142"/>
      <c r="AM26" s="142"/>
      <c r="AN26" s="142"/>
      <c r="AO26" s="142"/>
      <c r="AP26" s="142"/>
      <c r="AQ26" s="142"/>
      <c r="AR26" s="142"/>
      <c r="AS26" s="142"/>
      <c r="AT26" s="142"/>
      <c r="AU26" s="142"/>
      <c r="AV26" s="189"/>
      <c r="AW26" s="189"/>
      <c r="AX26" s="189"/>
      <c r="AY26" s="189"/>
      <c r="AZ26" s="189"/>
    </row>
    <row r="27" spans="1:52">
      <c r="A27" s="189"/>
      <c r="B27" s="189"/>
      <c r="C27" s="189"/>
      <c r="D27" s="212"/>
      <c r="E27" s="213"/>
      <c r="F27" s="189"/>
      <c r="G27" s="189"/>
      <c r="H27" s="189"/>
      <c r="I27" s="189"/>
      <c r="J27" s="189"/>
      <c r="K27" s="189"/>
      <c r="L27" s="189"/>
      <c r="M27" s="189"/>
      <c r="N27" s="189"/>
      <c r="O27" s="189"/>
      <c r="P27" s="189"/>
      <c r="Q27" s="189"/>
      <c r="R27" s="189"/>
      <c r="S27" s="189"/>
      <c r="T27" s="189"/>
      <c r="U27" s="214"/>
      <c r="V27" s="215"/>
      <c r="W27" s="215"/>
      <c r="X27" s="215"/>
      <c r="Y27" s="215"/>
      <c r="Z27" s="215"/>
      <c r="AA27" s="215"/>
      <c r="AB27" s="215"/>
      <c r="AC27" s="215"/>
      <c r="AD27" s="215"/>
      <c r="AE27" s="215"/>
      <c r="AF27" s="189"/>
      <c r="AG27" s="189"/>
      <c r="AH27" s="142"/>
      <c r="AI27" s="142"/>
      <c r="AJ27" s="142"/>
      <c r="AK27" s="142"/>
      <c r="AL27" s="142"/>
      <c r="AM27" s="142"/>
      <c r="AN27" s="142"/>
      <c r="AO27" s="142"/>
      <c r="AP27" s="142"/>
      <c r="AQ27" s="142"/>
      <c r="AR27" s="142"/>
      <c r="AS27" s="142"/>
      <c r="AT27" s="142"/>
      <c r="AU27" s="142"/>
      <c r="AV27" s="189"/>
      <c r="AW27" s="189"/>
      <c r="AX27" s="189"/>
      <c r="AY27" s="189"/>
      <c r="AZ27" s="189"/>
    </row>
    <row r="28" spans="1:52">
      <c r="A28" s="189"/>
      <c r="B28" s="189"/>
      <c r="C28" s="189"/>
      <c r="D28" s="190"/>
      <c r="E28" s="189"/>
      <c r="F28" s="189"/>
      <c r="G28" s="189"/>
      <c r="H28" s="189"/>
      <c r="I28" s="189"/>
      <c r="J28" s="189"/>
      <c r="K28" s="189"/>
      <c r="L28" s="189"/>
      <c r="M28" s="189"/>
      <c r="N28" s="189"/>
      <c r="O28" s="189"/>
      <c r="P28" s="189"/>
      <c r="Q28" s="189"/>
      <c r="R28" s="189"/>
      <c r="S28" s="189"/>
      <c r="T28" s="189"/>
      <c r="U28" s="189"/>
      <c r="V28" s="216"/>
      <c r="W28" s="216"/>
      <c r="X28" s="216"/>
      <c r="Y28" s="216"/>
      <c r="Z28" s="216"/>
      <c r="AA28" s="216"/>
      <c r="AB28" s="216"/>
      <c r="AC28" s="216"/>
      <c r="AD28" s="216"/>
      <c r="AE28" s="216"/>
      <c r="AF28" s="189"/>
      <c r="AG28" s="189"/>
      <c r="AH28" s="142"/>
      <c r="AI28" s="142"/>
      <c r="AJ28" s="142"/>
      <c r="AK28" s="142"/>
      <c r="AL28" s="142"/>
      <c r="AM28" s="142"/>
      <c r="AN28" s="142"/>
      <c r="AO28" s="142"/>
      <c r="AP28" s="142"/>
      <c r="AQ28" s="142"/>
      <c r="AR28" s="142"/>
      <c r="AS28" s="142"/>
      <c r="AT28" s="142"/>
      <c r="AU28" s="142"/>
      <c r="AV28" s="189"/>
      <c r="AW28" s="189"/>
      <c r="AX28" s="189"/>
      <c r="AY28" s="189"/>
      <c r="AZ28" s="189"/>
    </row>
    <row r="29" spans="1:52">
      <c r="A29" s="189"/>
      <c r="B29" s="189"/>
      <c r="C29" s="189"/>
      <c r="D29" s="190"/>
      <c r="E29" s="189"/>
      <c r="F29" s="189"/>
      <c r="G29" s="189"/>
      <c r="H29" s="189"/>
      <c r="I29" s="189"/>
      <c r="J29" s="189"/>
      <c r="K29" s="189"/>
      <c r="L29" s="189"/>
      <c r="M29" s="189"/>
      <c r="N29" s="189"/>
      <c r="O29" s="189"/>
      <c r="P29" s="189"/>
      <c r="Q29" s="189"/>
      <c r="R29" s="189"/>
      <c r="S29" s="189"/>
      <c r="T29" s="189"/>
      <c r="U29" s="189"/>
      <c r="V29" s="216"/>
      <c r="W29" s="216"/>
      <c r="X29" s="216"/>
      <c r="Y29" s="216"/>
      <c r="Z29" s="216"/>
      <c r="AA29" s="216"/>
      <c r="AB29" s="216"/>
      <c r="AC29" s="216"/>
      <c r="AD29" s="216"/>
      <c r="AE29" s="216"/>
      <c r="AF29" s="189"/>
      <c r="AG29" s="189"/>
      <c r="AH29" s="142"/>
      <c r="AI29" s="142"/>
      <c r="AJ29" s="142"/>
      <c r="AK29" s="142"/>
      <c r="AL29" s="142"/>
      <c r="AM29" s="142"/>
      <c r="AN29" s="142"/>
      <c r="AO29" s="142"/>
      <c r="AP29" s="142"/>
      <c r="AQ29" s="142"/>
      <c r="AR29" s="142"/>
      <c r="AS29" s="142"/>
      <c r="AT29" s="142"/>
      <c r="AU29" s="142"/>
      <c r="AV29" s="189"/>
      <c r="AW29" s="189"/>
      <c r="AX29" s="189"/>
      <c r="AY29" s="189"/>
      <c r="AZ29" s="189"/>
    </row>
    <row r="30" spans="1:52">
      <c r="A30" s="189"/>
      <c r="B30" s="189"/>
      <c r="C30" s="189"/>
      <c r="D30" s="190"/>
      <c r="E30" s="189"/>
      <c r="F30" s="189"/>
      <c r="G30" s="189"/>
      <c r="H30" s="189"/>
      <c r="I30" s="189"/>
      <c r="J30" s="189"/>
      <c r="K30" s="189"/>
      <c r="L30" s="189"/>
      <c r="M30" s="189"/>
      <c r="N30" s="189"/>
      <c r="O30" s="189"/>
      <c r="P30" s="189"/>
      <c r="Q30" s="189"/>
      <c r="R30" s="189"/>
      <c r="S30" s="189"/>
      <c r="T30" s="189"/>
      <c r="U30" s="189"/>
      <c r="V30" s="216"/>
      <c r="W30" s="216"/>
      <c r="X30" s="216"/>
      <c r="Y30" s="216"/>
      <c r="Z30" s="216"/>
      <c r="AA30" s="216"/>
      <c r="AB30" s="216"/>
      <c r="AC30" s="216"/>
      <c r="AD30" s="216"/>
      <c r="AE30" s="216"/>
      <c r="AF30" s="189"/>
      <c r="AG30" s="189"/>
      <c r="AH30" s="142"/>
      <c r="AI30" s="142"/>
      <c r="AJ30" s="142"/>
      <c r="AK30" s="142"/>
      <c r="AL30" s="142"/>
      <c r="AM30" s="142"/>
      <c r="AN30" s="142"/>
      <c r="AO30" s="142"/>
      <c r="AP30" s="142"/>
      <c r="AQ30" s="142"/>
      <c r="AR30" s="142"/>
      <c r="AS30" s="142"/>
      <c r="AT30" s="142"/>
      <c r="AU30" s="142"/>
      <c r="AV30" s="189"/>
      <c r="AW30" s="189"/>
      <c r="AX30" s="189"/>
      <c r="AY30" s="189"/>
      <c r="AZ30" s="189"/>
    </row>
    <row r="31" spans="1:52">
      <c r="A31" s="189"/>
      <c r="B31" s="189"/>
      <c r="C31" s="189"/>
      <c r="D31" s="190"/>
      <c r="E31" s="189"/>
      <c r="F31" s="189"/>
      <c r="G31" s="189"/>
      <c r="H31" s="189"/>
      <c r="I31" s="189"/>
      <c r="J31" s="189"/>
      <c r="K31" s="189"/>
      <c r="L31" s="189"/>
      <c r="M31" s="189"/>
      <c r="N31" s="189"/>
      <c r="O31" s="189"/>
      <c r="P31" s="189"/>
      <c r="Q31" s="189"/>
      <c r="R31" s="189"/>
      <c r="S31" s="189"/>
      <c r="T31" s="189"/>
      <c r="U31" s="189"/>
      <c r="V31" s="216"/>
      <c r="W31" s="216"/>
      <c r="X31" s="216"/>
      <c r="Y31" s="216"/>
      <c r="Z31" s="216"/>
      <c r="AA31" s="216"/>
      <c r="AB31" s="216"/>
      <c r="AC31" s="216"/>
      <c r="AD31" s="216"/>
      <c r="AE31" s="216"/>
      <c r="AF31" s="189"/>
      <c r="AG31" s="189"/>
      <c r="AH31" s="142"/>
      <c r="AI31" s="142"/>
      <c r="AJ31" s="142"/>
      <c r="AK31" s="142"/>
      <c r="AL31" s="142"/>
      <c r="AM31" s="142"/>
      <c r="AN31" s="142"/>
      <c r="AO31" s="142"/>
      <c r="AP31" s="142"/>
      <c r="AQ31" s="142"/>
      <c r="AR31" s="142"/>
      <c r="AS31" s="142"/>
      <c r="AT31" s="142"/>
      <c r="AU31" s="142"/>
      <c r="AV31" s="189"/>
      <c r="AW31" s="189"/>
      <c r="AX31" s="189"/>
      <c r="AY31" s="189"/>
      <c r="AZ31" s="189"/>
    </row>
    <row r="32" spans="1:52">
      <c r="A32" s="189"/>
      <c r="B32" s="189"/>
      <c r="C32" s="189"/>
      <c r="D32" s="190"/>
      <c r="E32" s="189"/>
      <c r="F32" s="189"/>
      <c r="G32" s="189"/>
      <c r="H32" s="189"/>
      <c r="I32" s="189"/>
      <c r="J32" s="189"/>
      <c r="K32" s="189"/>
      <c r="L32" s="189"/>
      <c r="M32" s="189"/>
      <c r="N32" s="189"/>
      <c r="O32" s="189"/>
      <c r="P32" s="189"/>
      <c r="Q32" s="189"/>
      <c r="R32" s="189"/>
      <c r="S32" s="189"/>
      <c r="T32" s="189"/>
      <c r="U32" s="189"/>
      <c r="V32" s="216"/>
      <c r="W32" s="216"/>
      <c r="X32" s="216"/>
      <c r="Y32" s="216"/>
      <c r="Z32" s="216"/>
      <c r="AA32" s="216"/>
      <c r="AB32" s="216"/>
      <c r="AC32" s="216"/>
      <c r="AD32" s="216"/>
      <c r="AE32" s="216"/>
      <c r="AF32" s="189"/>
      <c r="AG32" s="189"/>
      <c r="AH32" s="142"/>
      <c r="AI32" s="142"/>
      <c r="AJ32" s="142"/>
      <c r="AK32" s="142"/>
      <c r="AL32" s="142"/>
      <c r="AM32" s="142"/>
      <c r="AN32" s="142"/>
      <c r="AO32" s="142"/>
      <c r="AP32" s="142"/>
      <c r="AQ32" s="142"/>
      <c r="AR32" s="142"/>
      <c r="AS32" s="142"/>
      <c r="AT32" s="142"/>
      <c r="AU32" s="142"/>
      <c r="AV32" s="189"/>
      <c r="AW32" s="189"/>
      <c r="AX32" s="189"/>
      <c r="AY32" s="189"/>
      <c r="AZ32" s="189"/>
    </row>
    <row r="33" spans="1:52">
      <c r="A33" s="189"/>
      <c r="B33" s="189"/>
      <c r="C33" s="189"/>
      <c r="D33" s="190"/>
      <c r="E33" s="189"/>
      <c r="F33" s="189"/>
      <c r="G33" s="189"/>
      <c r="H33" s="189"/>
      <c r="I33" s="189"/>
      <c r="J33" s="189"/>
      <c r="K33" s="189"/>
      <c r="L33" s="189"/>
      <c r="M33" s="189"/>
      <c r="N33" s="189"/>
      <c r="O33" s="189"/>
      <c r="P33" s="189"/>
      <c r="Q33" s="189"/>
      <c r="R33" s="189"/>
      <c r="S33" s="189"/>
      <c r="T33" s="189"/>
      <c r="U33" s="189"/>
      <c r="V33" s="216"/>
      <c r="W33" s="216"/>
      <c r="X33" s="216"/>
      <c r="Y33" s="216"/>
      <c r="Z33" s="216"/>
      <c r="AA33" s="216"/>
      <c r="AB33" s="216"/>
      <c r="AC33" s="216"/>
      <c r="AD33" s="216"/>
      <c r="AE33" s="216"/>
      <c r="AF33" s="189"/>
      <c r="AG33" s="189"/>
      <c r="AH33" s="142"/>
      <c r="AI33" s="142"/>
      <c r="AJ33" s="142"/>
      <c r="AK33" s="142"/>
      <c r="AL33" s="142"/>
      <c r="AM33" s="142"/>
      <c r="AN33" s="142"/>
      <c r="AO33" s="142"/>
      <c r="AP33" s="142"/>
      <c r="AQ33" s="142"/>
      <c r="AR33" s="142"/>
      <c r="AS33" s="142"/>
      <c r="AT33" s="142"/>
      <c r="AU33" s="142"/>
      <c r="AV33" s="189"/>
      <c r="AW33" s="189"/>
      <c r="AX33" s="189"/>
      <c r="AY33" s="189"/>
      <c r="AZ33" s="189"/>
    </row>
    <row r="34" spans="1:52">
      <c r="A34" s="189"/>
      <c r="B34" s="189"/>
      <c r="C34" s="189"/>
      <c r="D34" s="190"/>
      <c r="E34" s="189"/>
      <c r="F34" s="189"/>
      <c r="G34" s="189"/>
      <c r="H34" s="189"/>
      <c r="I34" s="189"/>
      <c r="J34" s="189"/>
      <c r="K34" s="189"/>
      <c r="L34" s="189"/>
      <c r="M34" s="189"/>
      <c r="N34" s="189"/>
      <c r="O34" s="189"/>
      <c r="P34" s="189"/>
      <c r="Q34" s="189"/>
      <c r="R34" s="189"/>
      <c r="S34" s="189"/>
      <c r="T34" s="189"/>
      <c r="U34" s="189"/>
      <c r="V34" s="216"/>
      <c r="W34" s="216"/>
      <c r="X34" s="216"/>
      <c r="Y34" s="216"/>
      <c r="Z34" s="216"/>
      <c r="AA34" s="216"/>
      <c r="AB34" s="216"/>
      <c r="AC34" s="216"/>
      <c r="AD34" s="216"/>
      <c r="AE34" s="216"/>
      <c r="AF34" s="189"/>
      <c r="AG34" s="189"/>
      <c r="AH34" s="142"/>
      <c r="AI34" s="142"/>
      <c r="AJ34" s="142"/>
      <c r="AK34" s="142"/>
      <c r="AL34" s="142"/>
      <c r="AM34" s="142"/>
      <c r="AN34" s="142"/>
      <c r="AO34" s="142"/>
      <c r="AP34" s="142"/>
      <c r="AQ34" s="142"/>
      <c r="AR34" s="142"/>
      <c r="AS34" s="142"/>
      <c r="AT34" s="142"/>
      <c r="AU34" s="142"/>
      <c r="AV34" s="189"/>
      <c r="AW34" s="189"/>
      <c r="AX34" s="189"/>
      <c r="AY34" s="189"/>
      <c r="AZ34" s="189"/>
    </row>
    <row r="35" spans="1:52">
      <c r="A35" s="189"/>
      <c r="B35" s="189"/>
      <c r="C35" s="189"/>
      <c r="D35" s="190"/>
      <c r="E35" s="189"/>
      <c r="F35" s="189"/>
      <c r="G35" s="189"/>
      <c r="H35" s="189"/>
      <c r="I35" s="189"/>
      <c r="J35" s="189"/>
      <c r="K35" s="189"/>
      <c r="L35" s="189"/>
      <c r="M35" s="189"/>
      <c r="N35" s="189"/>
      <c r="O35" s="189"/>
      <c r="P35" s="189"/>
      <c r="Q35" s="189"/>
      <c r="R35" s="189"/>
      <c r="S35" s="189"/>
      <c r="T35" s="189"/>
      <c r="U35" s="189"/>
      <c r="V35" s="216"/>
      <c r="W35" s="216"/>
      <c r="X35" s="216"/>
      <c r="Y35" s="216"/>
      <c r="Z35" s="216"/>
      <c r="AA35" s="216"/>
      <c r="AB35" s="216"/>
      <c r="AC35" s="216"/>
      <c r="AD35" s="216"/>
      <c r="AE35" s="216"/>
      <c r="AF35" s="189"/>
      <c r="AG35" s="189"/>
      <c r="AH35" s="142"/>
      <c r="AI35" s="142"/>
      <c r="AJ35" s="142"/>
      <c r="AK35" s="142"/>
      <c r="AL35" s="142"/>
      <c r="AM35" s="142"/>
      <c r="AN35" s="142"/>
      <c r="AO35" s="142"/>
      <c r="AP35" s="142"/>
      <c r="AQ35" s="142"/>
      <c r="AR35" s="142"/>
      <c r="AS35" s="142"/>
      <c r="AT35" s="142"/>
      <c r="AU35" s="142"/>
      <c r="AV35" s="189"/>
      <c r="AW35" s="189"/>
      <c r="AX35" s="189"/>
      <c r="AY35" s="189"/>
      <c r="AZ35" s="189"/>
    </row>
    <row r="36" spans="1:52">
      <c r="A36" s="189"/>
      <c r="B36" s="189"/>
      <c r="C36" s="189"/>
      <c r="D36" s="190"/>
      <c r="E36" s="189"/>
      <c r="F36" s="189"/>
      <c r="G36" s="189"/>
      <c r="H36" s="189"/>
      <c r="I36" s="189"/>
      <c r="J36" s="189"/>
      <c r="K36" s="189"/>
      <c r="L36" s="189"/>
      <c r="M36" s="189"/>
      <c r="N36" s="189"/>
      <c r="O36" s="189"/>
      <c r="P36" s="189"/>
      <c r="Q36" s="189"/>
      <c r="R36" s="189"/>
      <c r="S36" s="189"/>
      <c r="T36" s="189"/>
      <c r="U36" s="189"/>
      <c r="V36" s="216"/>
      <c r="W36" s="216"/>
      <c r="X36" s="216"/>
      <c r="Y36" s="216"/>
      <c r="Z36" s="216"/>
      <c r="AA36" s="216"/>
      <c r="AB36" s="216"/>
      <c r="AC36" s="216"/>
      <c r="AD36" s="216"/>
      <c r="AE36" s="216"/>
      <c r="AF36" s="189"/>
      <c r="AG36" s="189"/>
      <c r="AH36" s="142"/>
      <c r="AI36" s="142"/>
      <c r="AJ36" s="142"/>
      <c r="AK36" s="142"/>
      <c r="AL36" s="142"/>
      <c r="AM36" s="142"/>
      <c r="AN36" s="142"/>
      <c r="AO36" s="142"/>
      <c r="AP36" s="142"/>
      <c r="AQ36" s="142"/>
      <c r="AR36" s="142"/>
      <c r="AS36" s="142"/>
      <c r="AT36" s="142"/>
      <c r="AU36" s="142"/>
      <c r="AV36" s="189"/>
      <c r="AW36" s="189"/>
      <c r="AX36" s="189"/>
      <c r="AY36" s="189"/>
      <c r="AZ36" s="189"/>
    </row>
    <row r="37" spans="1:52">
      <c r="A37" s="189"/>
      <c r="B37" s="189"/>
      <c r="C37" s="189"/>
      <c r="D37" s="190"/>
      <c r="E37" s="189"/>
      <c r="F37" s="189"/>
      <c r="G37" s="189"/>
      <c r="H37" s="189"/>
      <c r="I37" s="189"/>
      <c r="J37" s="189"/>
      <c r="K37" s="189"/>
      <c r="L37" s="189"/>
      <c r="M37" s="189"/>
      <c r="N37" s="189"/>
      <c r="O37" s="189"/>
      <c r="P37" s="189"/>
      <c r="Q37" s="189"/>
      <c r="R37" s="189"/>
      <c r="S37" s="189"/>
      <c r="T37" s="189"/>
      <c r="U37" s="189"/>
      <c r="V37" s="216"/>
      <c r="W37" s="216"/>
      <c r="X37" s="216"/>
      <c r="Y37" s="216"/>
      <c r="Z37" s="216"/>
      <c r="AA37" s="216"/>
      <c r="AB37" s="216"/>
      <c r="AC37" s="216"/>
      <c r="AD37" s="216"/>
      <c r="AE37" s="216"/>
      <c r="AF37" s="189"/>
      <c r="AG37" s="189"/>
      <c r="AH37" s="142"/>
      <c r="AI37" s="142"/>
      <c r="AJ37" s="142"/>
      <c r="AK37" s="142"/>
      <c r="AL37" s="142"/>
      <c r="AM37" s="142"/>
      <c r="AN37" s="142"/>
      <c r="AO37" s="142"/>
      <c r="AP37" s="142"/>
      <c r="AQ37" s="142"/>
      <c r="AR37" s="142"/>
      <c r="AS37" s="142"/>
      <c r="AT37" s="142"/>
      <c r="AU37" s="142"/>
      <c r="AV37" s="189"/>
      <c r="AW37" s="189"/>
      <c r="AX37" s="189"/>
      <c r="AY37" s="189"/>
      <c r="AZ37" s="189"/>
    </row>
    <row r="38" spans="1:52">
      <c r="A38" s="189"/>
      <c r="B38" s="189"/>
      <c r="C38" s="189"/>
      <c r="D38" s="190"/>
      <c r="E38" s="189"/>
      <c r="F38" s="189"/>
      <c r="G38" s="189"/>
      <c r="H38" s="189"/>
      <c r="I38" s="189"/>
      <c r="J38" s="189"/>
      <c r="K38" s="189"/>
      <c r="L38" s="189"/>
      <c r="M38" s="189"/>
      <c r="N38" s="189"/>
      <c r="O38" s="189"/>
      <c r="P38" s="189"/>
      <c r="Q38" s="189"/>
      <c r="R38" s="189"/>
      <c r="S38" s="189"/>
      <c r="T38" s="189"/>
      <c r="U38" s="189"/>
      <c r="V38" s="216"/>
      <c r="W38" s="216"/>
      <c r="X38" s="216"/>
      <c r="Y38" s="216"/>
      <c r="Z38" s="216"/>
      <c r="AA38" s="216"/>
      <c r="AB38" s="216"/>
      <c r="AC38" s="216"/>
      <c r="AD38" s="216"/>
      <c r="AE38" s="216"/>
      <c r="AF38" s="189"/>
      <c r="AG38" s="189"/>
      <c r="AH38" s="142"/>
      <c r="AI38" s="142"/>
      <c r="AJ38" s="142"/>
      <c r="AK38" s="142"/>
      <c r="AL38" s="142"/>
      <c r="AM38" s="142"/>
      <c r="AN38" s="142"/>
      <c r="AO38" s="142"/>
      <c r="AP38" s="142"/>
      <c r="AQ38" s="142"/>
      <c r="AR38" s="142"/>
      <c r="AS38" s="142"/>
      <c r="AT38" s="142"/>
      <c r="AU38" s="142"/>
      <c r="AV38" s="189"/>
      <c r="AW38" s="189"/>
      <c r="AX38" s="189"/>
      <c r="AY38" s="189"/>
      <c r="AZ38" s="189"/>
    </row>
    <row r="39" spans="1:52">
      <c r="A39" s="189"/>
      <c r="B39" s="189"/>
      <c r="C39" s="189"/>
      <c r="D39" s="190"/>
      <c r="E39" s="189"/>
      <c r="F39" s="189"/>
      <c r="G39" s="189"/>
      <c r="H39" s="189"/>
      <c r="I39" s="189"/>
      <c r="J39" s="189"/>
      <c r="K39" s="189"/>
      <c r="L39" s="189"/>
      <c r="M39" s="189"/>
      <c r="N39" s="189"/>
      <c r="O39" s="189"/>
      <c r="P39" s="189"/>
      <c r="Q39" s="189"/>
      <c r="R39" s="189"/>
      <c r="S39" s="189"/>
      <c r="T39" s="189"/>
      <c r="U39" s="189"/>
      <c r="V39" s="216"/>
      <c r="W39" s="216"/>
      <c r="X39" s="216"/>
      <c r="Y39" s="216"/>
      <c r="Z39" s="216"/>
      <c r="AA39" s="216"/>
      <c r="AB39" s="216"/>
      <c r="AC39" s="216"/>
      <c r="AD39" s="216"/>
      <c r="AE39" s="216"/>
      <c r="AF39" s="189"/>
      <c r="AG39" s="189"/>
      <c r="AH39" s="142"/>
      <c r="AI39" s="142"/>
      <c r="AJ39" s="142"/>
      <c r="AK39" s="142"/>
      <c r="AL39" s="142"/>
      <c r="AM39" s="142"/>
      <c r="AN39" s="142"/>
      <c r="AO39" s="142"/>
      <c r="AP39" s="142"/>
      <c r="AQ39" s="142"/>
      <c r="AR39" s="142"/>
      <c r="AS39" s="142"/>
      <c r="AT39" s="142"/>
      <c r="AU39" s="142"/>
      <c r="AV39" s="189"/>
      <c r="AW39" s="189"/>
      <c r="AX39" s="189"/>
      <c r="AY39" s="189"/>
      <c r="AZ39" s="189"/>
    </row>
    <row r="40" spans="1:52">
      <c r="A40" s="189"/>
      <c r="B40" s="189"/>
      <c r="C40" s="189"/>
      <c r="D40" s="190"/>
      <c r="E40" s="189"/>
      <c r="F40" s="189"/>
      <c r="G40" s="189"/>
      <c r="H40" s="189"/>
      <c r="I40" s="189"/>
      <c r="J40" s="189"/>
      <c r="K40" s="189"/>
      <c r="L40" s="189"/>
      <c r="M40" s="189"/>
      <c r="N40" s="189"/>
      <c r="O40" s="189"/>
      <c r="P40" s="189"/>
      <c r="Q40" s="189"/>
      <c r="R40" s="189"/>
      <c r="S40" s="189"/>
      <c r="T40" s="189"/>
      <c r="U40" s="189"/>
      <c r="V40" s="216"/>
      <c r="W40" s="216"/>
      <c r="X40" s="216"/>
      <c r="Y40" s="216"/>
      <c r="Z40" s="216"/>
      <c r="AA40" s="216"/>
      <c r="AB40" s="216"/>
      <c r="AC40" s="216"/>
      <c r="AD40" s="216"/>
      <c r="AE40" s="216"/>
      <c r="AF40" s="189"/>
      <c r="AG40" s="189"/>
      <c r="AH40" s="142"/>
      <c r="AI40" s="142"/>
      <c r="AJ40" s="142"/>
      <c r="AK40" s="142"/>
      <c r="AL40" s="142"/>
      <c r="AM40" s="142"/>
      <c r="AN40" s="142"/>
      <c r="AO40" s="142"/>
      <c r="AP40" s="142"/>
      <c r="AQ40" s="142"/>
      <c r="AR40" s="142"/>
      <c r="AS40" s="142"/>
      <c r="AT40" s="142"/>
      <c r="AU40" s="142"/>
      <c r="AV40" s="189"/>
      <c r="AW40" s="189"/>
      <c r="AX40" s="189"/>
      <c r="AY40" s="189"/>
      <c r="AZ40" s="189"/>
    </row>
    <row r="41" spans="1:52">
      <c r="A41" s="189"/>
      <c r="B41" s="189"/>
      <c r="C41" s="189"/>
      <c r="D41" s="190"/>
      <c r="E41" s="189"/>
      <c r="F41" s="189"/>
      <c r="G41" s="189"/>
      <c r="H41" s="189"/>
      <c r="I41" s="189"/>
      <c r="J41" s="189"/>
      <c r="K41" s="189"/>
      <c r="L41" s="189"/>
      <c r="M41" s="189"/>
      <c r="N41" s="189"/>
      <c r="O41" s="189"/>
      <c r="P41" s="189"/>
      <c r="Q41" s="189"/>
      <c r="R41" s="189"/>
      <c r="S41" s="189"/>
      <c r="T41" s="189"/>
      <c r="U41" s="189"/>
      <c r="V41" s="216"/>
      <c r="W41" s="216"/>
      <c r="X41" s="216"/>
      <c r="Y41" s="216"/>
      <c r="Z41" s="216"/>
      <c r="AA41" s="216"/>
      <c r="AB41" s="216"/>
      <c r="AC41" s="216"/>
      <c r="AD41" s="216"/>
      <c r="AE41" s="216"/>
      <c r="AF41" s="189"/>
      <c r="AG41" s="189"/>
      <c r="AH41" s="142"/>
      <c r="AI41" s="142"/>
      <c r="AJ41" s="142"/>
      <c r="AK41" s="142"/>
      <c r="AL41" s="142"/>
      <c r="AM41" s="142"/>
      <c r="AN41" s="142"/>
      <c r="AO41" s="142"/>
      <c r="AP41" s="142"/>
      <c r="AQ41" s="142"/>
      <c r="AR41" s="142"/>
      <c r="AS41" s="142"/>
      <c r="AT41" s="142"/>
      <c r="AU41" s="142"/>
      <c r="AV41" s="189"/>
      <c r="AW41" s="189"/>
      <c r="AX41" s="189"/>
      <c r="AY41" s="189"/>
      <c r="AZ41" s="189"/>
    </row>
    <row r="42" spans="1:52">
      <c r="A42" s="189"/>
      <c r="B42" s="189"/>
      <c r="C42" s="189"/>
      <c r="D42" s="190"/>
      <c r="E42" s="189"/>
      <c r="F42" s="189"/>
      <c r="G42" s="189"/>
      <c r="H42" s="189"/>
      <c r="I42" s="189"/>
      <c r="J42" s="189"/>
      <c r="K42" s="189"/>
      <c r="L42" s="189"/>
      <c r="M42" s="189"/>
      <c r="N42" s="189"/>
      <c r="O42" s="189"/>
      <c r="P42" s="189"/>
      <c r="Q42" s="189"/>
      <c r="R42" s="189"/>
      <c r="S42" s="189"/>
      <c r="T42" s="189"/>
      <c r="U42" s="189"/>
      <c r="V42" s="216"/>
      <c r="W42" s="216"/>
      <c r="X42" s="216"/>
      <c r="Y42" s="216"/>
      <c r="Z42" s="216"/>
      <c r="AA42" s="216"/>
      <c r="AB42" s="216"/>
      <c r="AC42" s="216"/>
      <c r="AD42" s="216"/>
      <c r="AE42" s="216"/>
      <c r="AF42" s="189"/>
      <c r="AG42" s="189"/>
      <c r="AH42" s="142"/>
      <c r="AI42" s="142"/>
      <c r="AJ42" s="142"/>
      <c r="AK42" s="142"/>
      <c r="AL42" s="142"/>
      <c r="AM42" s="142"/>
      <c r="AN42" s="142"/>
      <c r="AO42" s="142"/>
      <c r="AP42" s="142"/>
      <c r="AQ42" s="142"/>
      <c r="AR42" s="142"/>
      <c r="AS42" s="142"/>
      <c r="AT42" s="142"/>
      <c r="AU42" s="142"/>
      <c r="AV42" s="189"/>
      <c r="AW42" s="189"/>
      <c r="AX42" s="189"/>
      <c r="AY42" s="189"/>
      <c r="AZ42" s="189"/>
    </row>
    <row r="43" spans="1:52">
      <c r="A43" s="189"/>
      <c r="B43" s="189"/>
      <c r="C43" s="189"/>
      <c r="D43" s="190"/>
      <c r="E43" s="189"/>
      <c r="F43" s="189"/>
      <c r="G43" s="189"/>
      <c r="H43" s="189"/>
      <c r="I43" s="189"/>
      <c r="J43" s="189"/>
      <c r="K43" s="189"/>
      <c r="L43" s="189"/>
      <c r="M43" s="189"/>
      <c r="N43" s="189"/>
      <c r="O43" s="189"/>
      <c r="P43" s="189"/>
      <c r="Q43" s="189"/>
      <c r="R43" s="189"/>
      <c r="S43" s="189"/>
      <c r="T43" s="189"/>
      <c r="U43" s="189"/>
      <c r="V43" s="216"/>
      <c r="W43" s="216"/>
      <c r="X43" s="216"/>
      <c r="Y43" s="216"/>
      <c r="Z43" s="216"/>
      <c r="AA43" s="216"/>
      <c r="AB43" s="216"/>
      <c r="AC43" s="216"/>
      <c r="AD43" s="216"/>
      <c r="AE43" s="216"/>
      <c r="AF43" s="189"/>
      <c r="AG43" s="189"/>
      <c r="AH43" s="142"/>
      <c r="AI43" s="142"/>
      <c r="AJ43" s="142"/>
      <c r="AK43" s="142"/>
      <c r="AL43" s="142"/>
      <c r="AM43" s="142"/>
      <c r="AN43" s="142"/>
      <c r="AO43" s="142"/>
      <c r="AP43" s="142"/>
      <c r="AQ43" s="142"/>
      <c r="AR43" s="142"/>
      <c r="AS43" s="142"/>
      <c r="AT43" s="142"/>
      <c r="AU43" s="142"/>
      <c r="AV43" s="189"/>
      <c r="AW43" s="189"/>
      <c r="AX43" s="189"/>
      <c r="AY43" s="189"/>
      <c r="AZ43" s="189"/>
    </row>
    <row r="44" spans="1:52">
      <c r="A44" s="189"/>
      <c r="B44" s="189"/>
      <c r="C44" s="189"/>
      <c r="D44" s="190"/>
      <c r="E44" s="189"/>
      <c r="F44" s="189"/>
      <c r="G44" s="189"/>
      <c r="H44" s="189"/>
      <c r="I44" s="189"/>
      <c r="J44" s="189"/>
      <c r="K44" s="189"/>
      <c r="L44" s="189"/>
      <c r="M44" s="189"/>
      <c r="N44" s="189"/>
      <c r="O44" s="189"/>
      <c r="P44" s="189"/>
      <c r="Q44" s="189"/>
      <c r="R44" s="189"/>
      <c r="S44" s="189"/>
      <c r="T44" s="189"/>
      <c r="U44" s="189"/>
      <c r="V44" s="216"/>
      <c r="W44" s="216"/>
      <c r="X44" s="216"/>
      <c r="Y44" s="216"/>
      <c r="Z44" s="216"/>
      <c r="AA44" s="216"/>
      <c r="AB44" s="216"/>
      <c r="AC44" s="216"/>
      <c r="AD44" s="216"/>
      <c r="AE44" s="216"/>
      <c r="AF44" s="189"/>
      <c r="AG44" s="189"/>
      <c r="AH44" s="142"/>
      <c r="AI44" s="142"/>
      <c r="AJ44" s="142"/>
      <c r="AK44" s="142"/>
      <c r="AL44" s="142"/>
      <c r="AM44" s="142"/>
      <c r="AN44" s="142"/>
      <c r="AO44" s="142"/>
      <c r="AP44" s="142"/>
      <c r="AQ44" s="142"/>
      <c r="AR44" s="142"/>
      <c r="AS44" s="142"/>
      <c r="AT44" s="142"/>
      <c r="AU44" s="142"/>
      <c r="AV44" s="189"/>
      <c r="AW44" s="189"/>
      <c r="AX44" s="189"/>
      <c r="AY44" s="189"/>
      <c r="AZ44" s="189"/>
    </row>
    <row r="45" spans="1:52">
      <c r="A45" s="189"/>
      <c r="B45" s="189"/>
      <c r="C45" s="189"/>
      <c r="D45" s="190"/>
      <c r="E45" s="189"/>
      <c r="F45" s="189"/>
      <c r="G45" s="189"/>
      <c r="H45" s="189"/>
      <c r="I45" s="189"/>
      <c r="J45" s="189"/>
      <c r="K45" s="189"/>
      <c r="L45" s="189"/>
      <c r="M45" s="189"/>
      <c r="N45" s="189"/>
      <c r="O45" s="189"/>
      <c r="P45" s="189"/>
      <c r="Q45" s="189"/>
      <c r="R45" s="189"/>
      <c r="S45" s="189"/>
      <c r="T45" s="189"/>
      <c r="U45" s="189"/>
      <c r="V45" s="216"/>
      <c r="W45" s="216"/>
      <c r="X45" s="216"/>
      <c r="Y45" s="216"/>
      <c r="Z45" s="216"/>
      <c r="AA45" s="216"/>
      <c r="AB45" s="216"/>
      <c r="AC45" s="216"/>
      <c r="AD45" s="216"/>
      <c r="AE45" s="216"/>
      <c r="AF45" s="189"/>
      <c r="AG45" s="189"/>
      <c r="AH45" s="142"/>
      <c r="AI45" s="142"/>
      <c r="AJ45" s="142"/>
      <c r="AK45" s="142"/>
      <c r="AL45" s="142"/>
      <c r="AM45" s="142"/>
      <c r="AN45" s="142"/>
      <c r="AO45" s="142"/>
      <c r="AP45" s="142"/>
      <c r="AQ45" s="142"/>
      <c r="AR45" s="142"/>
      <c r="AS45" s="142"/>
      <c r="AT45" s="142"/>
      <c r="AU45" s="142"/>
      <c r="AV45" s="189"/>
      <c r="AW45" s="189"/>
      <c r="AX45" s="189"/>
      <c r="AY45" s="189"/>
      <c r="AZ45" s="189"/>
    </row>
    <row r="46" spans="1:52">
      <c r="A46" s="189"/>
      <c r="B46" s="189"/>
      <c r="C46" s="189"/>
      <c r="D46" s="190"/>
      <c r="E46" s="189"/>
      <c r="F46" s="189"/>
      <c r="G46" s="189"/>
      <c r="H46" s="189"/>
      <c r="I46" s="189"/>
      <c r="J46" s="189"/>
      <c r="K46" s="189"/>
      <c r="L46" s="189"/>
      <c r="M46" s="189"/>
      <c r="N46" s="189"/>
      <c r="O46" s="189"/>
      <c r="P46" s="189"/>
      <c r="Q46" s="189"/>
      <c r="R46" s="189"/>
      <c r="S46" s="189"/>
      <c r="T46" s="189"/>
      <c r="U46" s="189"/>
      <c r="V46" s="216"/>
      <c r="W46" s="216"/>
      <c r="X46" s="216"/>
      <c r="Y46" s="216"/>
      <c r="Z46" s="216"/>
      <c r="AA46" s="216"/>
      <c r="AB46" s="216"/>
      <c r="AC46" s="216"/>
      <c r="AD46" s="216"/>
      <c r="AE46" s="216"/>
      <c r="AF46" s="189"/>
      <c r="AG46" s="189"/>
      <c r="AH46" s="142"/>
      <c r="AI46" s="142"/>
      <c r="AJ46" s="142"/>
      <c r="AK46" s="142"/>
      <c r="AL46" s="142"/>
      <c r="AM46" s="142"/>
      <c r="AN46" s="142"/>
      <c r="AO46" s="142"/>
      <c r="AP46" s="142"/>
      <c r="AQ46" s="142"/>
      <c r="AR46" s="142"/>
      <c r="AS46" s="142"/>
      <c r="AT46" s="142"/>
      <c r="AU46" s="142"/>
      <c r="AV46" s="189"/>
      <c r="AW46" s="189"/>
      <c r="AX46" s="189"/>
      <c r="AY46" s="189"/>
      <c r="AZ46" s="189"/>
    </row>
    <row r="47" spans="1:52">
      <c r="A47" s="189"/>
      <c r="B47" s="189"/>
      <c r="C47" s="189"/>
      <c r="D47" s="190"/>
      <c r="E47" s="189"/>
      <c r="F47" s="189"/>
      <c r="G47" s="189"/>
      <c r="H47" s="189"/>
      <c r="I47" s="189"/>
      <c r="J47" s="189"/>
      <c r="K47" s="189"/>
      <c r="L47" s="189"/>
      <c r="M47" s="189"/>
      <c r="N47" s="189"/>
      <c r="O47" s="189"/>
      <c r="P47" s="189"/>
      <c r="Q47" s="189"/>
      <c r="R47" s="189"/>
      <c r="S47" s="189"/>
      <c r="T47" s="189"/>
      <c r="U47" s="189"/>
      <c r="V47" s="216"/>
      <c r="W47" s="216"/>
      <c r="X47" s="216"/>
      <c r="Y47" s="216"/>
      <c r="Z47" s="216"/>
      <c r="AA47" s="216"/>
      <c r="AB47" s="216"/>
      <c r="AC47" s="216"/>
      <c r="AD47" s="216"/>
      <c r="AE47" s="216"/>
      <c r="AF47" s="189"/>
      <c r="AG47" s="189"/>
      <c r="AH47" s="142"/>
      <c r="AI47" s="142"/>
      <c r="AJ47" s="142"/>
      <c r="AK47" s="142"/>
      <c r="AL47" s="142"/>
      <c r="AM47" s="142"/>
      <c r="AN47" s="142"/>
      <c r="AO47" s="142"/>
      <c r="AP47" s="142"/>
      <c r="AQ47" s="142"/>
      <c r="AR47" s="142"/>
      <c r="AS47" s="142"/>
      <c r="AT47" s="142"/>
      <c r="AU47" s="142"/>
      <c r="AV47" s="189"/>
      <c r="AW47" s="189"/>
      <c r="AX47" s="189"/>
      <c r="AY47" s="189"/>
      <c r="AZ47" s="189"/>
    </row>
    <row r="48" spans="1:52">
      <c r="A48" s="189"/>
      <c r="B48" s="189"/>
      <c r="C48" s="189"/>
      <c r="D48" s="190"/>
      <c r="E48" s="189"/>
      <c r="F48" s="189"/>
      <c r="G48" s="189"/>
      <c r="H48" s="189"/>
      <c r="I48" s="189"/>
      <c r="J48" s="189"/>
      <c r="K48" s="189"/>
      <c r="L48" s="189"/>
      <c r="M48" s="189"/>
      <c r="N48" s="189"/>
      <c r="O48" s="189"/>
      <c r="P48" s="189"/>
      <c r="Q48" s="189"/>
      <c r="R48" s="189"/>
      <c r="S48" s="189"/>
      <c r="T48" s="189"/>
      <c r="U48" s="189"/>
      <c r="V48" s="216"/>
      <c r="W48" s="216"/>
      <c r="X48" s="216"/>
      <c r="Y48" s="216"/>
      <c r="Z48" s="216"/>
      <c r="AA48" s="216"/>
      <c r="AB48" s="216"/>
      <c r="AC48" s="216"/>
      <c r="AD48" s="216"/>
      <c r="AE48" s="216"/>
      <c r="AF48" s="189"/>
      <c r="AG48" s="189"/>
      <c r="AH48" s="142"/>
      <c r="AI48" s="142"/>
      <c r="AJ48" s="142"/>
      <c r="AK48" s="142"/>
      <c r="AL48" s="142"/>
      <c r="AM48" s="142"/>
      <c r="AN48" s="142"/>
      <c r="AO48" s="142"/>
      <c r="AP48" s="142"/>
      <c r="AQ48" s="142"/>
      <c r="AR48" s="142"/>
      <c r="AS48" s="142"/>
      <c r="AT48" s="142"/>
      <c r="AU48" s="142"/>
      <c r="AV48" s="189"/>
      <c r="AW48" s="189"/>
      <c r="AX48" s="189"/>
      <c r="AY48" s="189"/>
      <c r="AZ48" s="189"/>
    </row>
    <row r="49" spans="1:52">
      <c r="A49" s="189"/>
      <c r="B49" s="189"/>
      <c r="C49" s="189"/>
      <c r="D49" s="190"/>
      <c r="E49" s="189"/>
      <c r="F49" s="189"/>
      <c r="G49" s="189"/>
      <c r="H49" s="189"/>
      <c r="I49" s="189"/>
      <c r="J49" s="189"/>
      <c r="K49" s="189"/>
      <c r="L49" s="189"/>
      <c r="M49" s="189"/>
      <c r="N49" s="189"/>
      <c r="O49" s="189"/>
      <c r="P49" s="189"/>
      <c r="Q49" s="189"/>
      <c r="R49" s="189"/>
      <c r="S49" s="189"/>
      <c r="T49" s="189"/>
      <c r="U49" s="189"/>
      <c r="V49" s="216"/>
      <c r="W49" s="216"/>
      <c r="X49" s="216"/>
      <c r="Y49" s="216"/>
      <c r="Z49" s="216"/>
      <c r="AA49" s="216"/>
      <c r="AB49" s="216"/>
      <c r="AC49" s="216"/>
      <c r="AD49" s="216"/>
      <c r="AE49" s="216"/>
      <c r="AF49" s="189"/>
      <c r="AG49" s="189"/>
      <c r="AH49" s="142"/>
      <c r="AI49" s="142"/>
      <c r="AJ49" s="142"/>
      <c r="AK49" s="142"/>
      <c r="AL49" s="142"/>
      <c r="AM49" s="142"/>
      <c r="AN49" s="142"/>
      <c r="AO49" s="142"/>
      <c r="AP49" s="142"/>
      <c r="AQ49" s="142"/>
      <c r="AR49" s="142"/>
      <c r="AS49" s="142"/>
      <c r="AT49" s="142"/>
      <c r="AU49" s="142"/>
      <c r="AV49" s="189"/>
      <c r="AW49" s="189"/>
      <c r="AX49" s="189"/>
      <c r="AY49" s="189"/>
      <c r="AZ49" s="189"/>
    </row>
    <row r="50" spans="1:52">
      <c r="A50" s="189"/>
      <c r="B50" s="189"/>
      <c r="C50" s="189"/>
      <c r="D50" s="190"/>
      <c r="E50" s="189"/>
      <c r="F50" s="189"/>
      <c r="G50" s="189"/>
      <c r="H50" s="189"/>
      <c r="I50" s="189"/>
      <c r="J50" s="189"/>
      <c r="K50" s="189"/>
      <c r="L50" s="189"/>
      <c r="M50" s="189"/>
      <c r="N50" s="189"/>
      <c r="O50" s="189"/>
      <c r="P50" s="189"/>
      <c r="Q50" s="189"/>
      <c r="R50" s="189"/>
      <c r="S50" s="189"/>
      <c r="T50" s="189"/>
      <c r="U50" s="189"/>
      <c r="V50" s="216"/>
      <c r="W50" s="216"/>
      <c r="X50" s="216"/>
      <c r="Y50" s="216"/>
      <c r="Z50" s="216"/>
      <c r="AA50" s="216"/>
      <c r="AB50" s="216"/>
      <c r="AC50" s="216"/>
      <c r="AD50" s="216"/>
      <c r="AE50" s="216"/>
      <c r="AF50" s="189"/>
      <c r="AG50" s="189"/>
      <c r="AH50" s="142"/>
      <c r="AI50" s="142"/>
      <c r="AJ50" s="142"/>
      <c r="AK50" s="142"/>
      <c r="AL50" s="142"/>
      <c r="AM50" s="142"/>
      <c r="AN50" s="142"/>
      <c r="AO50" s="142"/>
      <c r="AP50" s="142"/>
      <c r="AQ50" s="142"/>
      <c r="AR50" s="142"/>
      <c r="AS50" s="142"/>
      <c r="AT50" s="142"/>
      <c r="AU50" s="142"/>
      <c r="AV50" s="189"/>
      <c r="AW50" s="189"/>
      <c r="AX50" s="189"/>
      <c r="AY50" s="189"/>
      <c r="AZ50" s="189"/>
    </row>
    <row r="51" spans="1:52">
      <c r="A51" s="189"/>
      <c r="B51" s="189"/>
      <c r="C51" s="189"/>
      <c r="D51" s="190"/>
      <c r="E51" s="189"/>
      <c r="F51" s="189"/>
      <c r="G51" s="189"/>
      <c r="H51" s="189"/>
      <c r="I51" s="189"/>
      <c r="J51" s="189"/>
      <c r="K51" s="189"/>
      <c r="L51" s="189"/>
      <c r="M51" s="189"/>
      <c r="N51" s="189"/>
      <c r="O51" s="189"/>
      <c r="P51" s="189"/>
      <c r="Q51" s="189"/>
      <c r="R51" s="189"/>
      <c r="S51" s="189"/>
      <c r="T51" s="189"/>
      <c r="U51" s="189"/>
      <c r="V51" s="216"/>
      <c r="W51" s="216"/>
      <c r="X51" s="216"/>
      <c r="Y51" s="216"/>
      <c r="Z51" s="216"/>
      <c r="AA51" s="216"/>
      <c r="AB51" s="216"/>
      <c r="AC51" s="216"/>
      <c r="AD51" s="216"/>
      <c r="AE51" s="216"/>
      <c r="AF51" s="189"/>
      <c r="AG51" s="189"/>
      <c r="AH51" s="142"/>
      <c r="AI51" s="142"/>
      <c r="AJ51" s="142"/>
      <c r="AK51" s="142"/>
      <c r="AL51" s="142"/>
      <c r="AM51" s="142"/>
      <c r="AN51" s="142"/>
      <c r="AO51" s="142"/>
      <c r="AP51" s="142"/>
      <c r="AQ51" s="142"/>
      <c r="AR51" s="142"/>
      <c r="AS51" s="142"/>
      <c r="AT51" s="142"/>
      <c r="AU51" s="142"/>
      <c r="AV51" s="189"/>
      <c r="AW51" s="189"/>
      <c r="AX51" s="189"/>
      <c r="AY51" s="189"/>
      <c r="AZ51" s="189"/>
    </row>
    <row r="52" spans="1:52">
      <c r="A52" s="189"/>
      <c r="B52" s="189"/>
      <c r="C52" s="189"/>
      <c r="D52" s="190"/>
      <c r="E52" s="189"/>
      <c r="F52" s="189"/>
      <c r="G52" s="189"/>
      <c r="H52" s="189"/>
      <c r="I52" s="189"/>
      <c r="J52" s="189"/>
      <c r="K52" s="189"/>
      <c r="L52" s="189"/>
      <c r="M52" s="189"/>
      <c r="N52" s="189"/>
      <c r="O52" s="189"/>
      <c r="P52" s="189"/>
      <c r="Q52" s="189"/>
      <c r="R52" s="189"/>
      <c r="S52" s="189"/>
      <c r="T52" s="189"/>
      <c r="U52" s="189"/>
      <c r="V52" s="216"/>
      <c r="W52" s="216"/>
      <c r="X52" s="216"/>
      <c r="Y52" s="216"/>
      <c r="Z52" s="216"/>
      <c r="AA52" s="216"/>
      <c r="AB52" s="216"/>
      <c r="AC52" s="216"/>
      <c r="AD52" s="216"/>
      <c r="AE52" s="216"/>
      <c r="AF52" s="189"/>
      <c r="AG52" s="189"/>
      <c r="AH52" s="142"/>
      <c r="AI52" s="142"/>
      <c r="AJ52" s="142"/>
      <c r="AK52" s="142"/>
      <c r="AL52" s="142"/>
      <c r="AM52" s="142"/>
      <c r="AN52" s="142"/>
      <c r="AO52" s="142"/>
      <c r="AP52" s="142"/>
      <c r="AQ52" s="142"/>
      <c r="AR52" s="142"/>
      <c r="AS52" s="142"/>
      <c r="AT52" s="142"/>
      <c r="AU52" s="142"/>
      <c r="AV52" s="189"/>
      <c r="AW52" s="189"/>
      <c r="AX52" s="189"/>
      <c r="AY52" s="189"/>
      <c r="AZ52" s="189"/>
    </row>
    <row r="53" spans="1:52">
      <c r="A53" s="189"/>
      <c r="B53" s="189"/>
      <c r="C53" s="189"/>
      <c r="D53" s="190"/>
      <c r="E53" s="189"/>
      <c r="F53" s="189"/>
      <c r="G53" s="189"/>
      <c r="H53" s="189"/>
      <c r="I53" s="189"/>
      <c r="J53" s="189"/>
      <c r="K53" s="189"/>
      <c r="L53" s="189"/>
      <c r="M53" s="189"/>
      <c r="N53" s="189"/>
      <c r="O53" s="189"/>
      <c r="P53" s="189"/>
      <c r="Q53" s="189"/>
      <c r="R53" s="189"/>
      <c r="S53" s="189"/>
      <c r="T53" s="189"/>
      <c r="U53" s="189"/>
      <c r="V53" s="216"/>
      <c r="W53" s="216"/>
      <c r="X53" s="216"/>
      <c r="Y53" s="216"/>
      <c r="Z53" s="216"/>
      <c r="AA53" s="216"/>
      <c r="AB53" s="216"/>
      <c r="AC53" s="216"/>
      <c r="AD53" s="216"/>
      <c r="AE53" s="216"/>
      <c r="AF53" s="189"/>
      <c r="AG53" s="189"/>
      <c r="AH53" s="142"/>
      <c r="AI53" s="142"/>
      <c r="AJ53" s="142"/>
      <c r="AK53" s="142"/>
      <c r="AL53" s="142"/>
      <c r="AM53" s="142"/>
      <c r="AN53" s="142"/>
      <c r="AO53" s="142"/>
      <c r="AP53" s="142"/>
      <c r="AQ53" s="142"/>
      <c r="AR53" s="142"/>
      <c r="AS53" s="142"/>
      <c r="AT53" s="142"/>
      <c r="AU53" s="142"/>
      <c r="AV53" s="189"/>
      <c r="AW53" s="189"/>
      <c r="AX53" s="189"/>
      <c r="AY53" s="189"/>
      <c r="AZ53" s="189"/>
    </row>
    <row r="54" spans="1:52">
      <c r="A54" s="189"/>
      <c r="B54" s="189"/>
      <c r="C54" s="189"/>
      <c r="D54" s="190"/>
      <c r="E54" s="189"/>
      <c r="F54" s="189"/>
      <c r="G54" s="189"/>
      <c r="H54" s="189"/>
      <c r="I54" s="189"/>
      <c r="J54" s="189"/>
      <c r="K54" s="189"/>
      <c r="L54" s="189"/>
      <c r="M54" s="189"/>
      <c r="N54" s="189"/>
      <c r="O54" s="189"/>
      <c r="P54" s="189"/>
      <c r="Q54" s="189"/>
      <c r="R54" s="189"/>
      <c r="S54" s="189"/>
      <c r="T54" s="189"/>
      <c r="U54" s="189"/>
      <c r="V54" s="216"/>
      <c r="W54" s="216"/>
      <c r="X54" s="216"/>
      <c r="Y54" s="216"/>
      <c r="Z54" s="216"/>
      <c r="AA54" s="216"/>
      <c r="AB54" s="216"/>
      <c r="AC54" s="216"/>
      <c r="AD54" s="216"/>
      <c r="AE54" s="216"/>
      <c r="AF54" s="189"/>
      <c r="AG54" s="189"/>
      <c r="AH54" s="142"/>
      <c r="AI54" s="142"/>
      <c r="AJ54" s="142"/>
      <c r="AK54" s="142"/>
      <c r="AL54" s="142"/>
      <c r="AM54" s="142"/>
      <c r="AN54" s="142"/>
      <c r="AO54" s="142"/>
      <c r="AP54" s="142"/>
      <c r="AQ54" s="142"/>
      <c r="AR54" s="142"/>
      <c r="AS54" s="142"/>
      <c r="AT54" s="142"/>
      <c r="AU54" s="142"/>
      <c r="AV54" s="189"/>
      <c r="AW54" s="189"/>
      <c r="AX54" s="189"/>
      <c r="AY54" s="189"/>
      <c r="AZ54" s="189"/>
    </row>
    <row r="55" spans="1:52">
      <c r="A55" s="189"/>
      <c r="B55" s="189"/>
      <c r="C55" s="189"/>
      <c r="D55" s="190"/>
      <c r="E55" s="189"/>
      <c r="F55" s="189"/>
      <c r="G55" s="189"/>
      <c r="H55" s="189"/>
      <c r="I55" s="189"/>
      <c r="J55" s="189"/>
      <c r="K55" s="189"/>
      <c r="L55" s="189"/>
      <c r="M55" s="189"/>
      <c r="N55" s="189"/>
      <c r="O55" s="189"/>
      <c r="P55" s="189"/>
      <c r="Q55" s="189"/>
      <c r="R55" s="189"/>
      <c r="S55" s="189"/>
      <c r="T55" s="189"/>
      <c r="U55" s="189"/>
      <c r="V55" s="216"/>
      <c r="W55" s="216"/>
      <c r="X55" s="216"/>
      <c r="Y55" s="216"/>
      <c r="Z55" s="216"/>
      <c r="AA55" s="216"/>
      <c r="AB55" s="216"/>
      <c r="AC55" s="216"/>
      <c r="AD55" s="216"/>
      <c r="AE55" s="216"/>
      <c r="AF55" s="189"/>
      <c r="AG55" s="189"/>
      <c r="AH55" s="142"/>
      <c r="AI55" s="142"/>
      <c r="AJ55" s="142"/>
      <c r="AK55" s="142"/>
      <c r="AL55" s="142"/>
      <c r="AM55" s="142"/>
      <c r="AN55" s="142"/>
      <c r="AO55" s="142"/>
      <c r="AP55" s="142"/>
      <c r="AQ55" s="142"/>
      <c r="AR55" s="142"/>
      <c r="AS55" s="142"/>
      <c r="AT55" s="142"/>
      <c r="AU55" s="142"/>
      <c r="AV55" s="189"/>
      <c r="AW55" s="189"/>
      <c r="AX55" s="189"/>
      <c r="AY55" s="189"/>
      <c r="AZ55" s="189"/>
    </row>
    <row r="56" spans="1:52">
      <c r="A56" s="189"/>
      <c r="B56" s="189"/>
      <c r="C56" s="189"/>
      <c r="D56" s="190"/>
      <c r="E56" s="189"/>
      <c r="F56" s="189"/>
      <c r="G56" s="189"/>
      <c r="H56" s="189"/>
      <c r="I56" s="189"/>
      <c r="J56" s="189"/>
      <c r="K56" s="189"/>
      <c r="L56" s="189"/>
      <c r="M56" s="189"/>
      <c r="N56" s="189"/>
      <c r="O56" s="189"/>
      <c r="P56" s="189"/>
      <c r="Q56" s="189"/>
      <c r="R56" s="189"/>
      <c r="S56" s="189"/>
      <c r="T56" s="189"/>
      <c r="U56" s="189"/>
      <c r="V56" s="216"/>
      <c r="W56" s="216"/>
      <c r="X56" s="216"/>
      <c r="Y56" s="216"/>
      <c r="Z56" s="216"/>
      <c r="AA56" s="216"/>
      <c r="AB56" s="216"/>
      <c r="AC56" s="216"/>
      <c r="AD56" s="216"/>
      <c r="AE56" s="216"/>
      <c r="AF56" s="189"/>
      <c r="AG56" s="189"/>
      <c r="AH56" s="142"/>
      <c r="AI56" s="142"/>
      <c r="AJ56" s="142"/>
      <c r="AK56" s="142"/>
      <c r="AL56" s="142"/>
      <c r="AM56" s="142"/>
      <c r="AN56" s="142"/>
      <c r="AO56" s="142"/>
      <c r="AP56" s="142"/>
      <c r="AQ56" s="142"/>
      <c r="AR56" s="142"/>
      <c r="AS56" s="142"/>
      <c r="AT56" s="142"/>
      <c r="AU56" s="142"/>
      <c r="AV56" s="189"/>
      <c r="AW56" s="189"/>
      <c r="AX56" s="189"/>
      <c r="AY56" s="189"/>
      <c r="AZ56" s="189"/>
    </row>
    <row r="57" spans="1:52">
      <c r="A57" s="189"/>
      <c r="B57" s="189"/>
      <c r="C57" s="189"/>
      <c r="D57" s="190"/>
      <c r="E57" s="189"/>
      <c r="F57" s="189"/>
      <c r="G57" s="189"/>
      <c r="H57" s="189"/>
      <c r="I57" s="189"/>
      <c r="J57" s="189"/>
      <c r="K57" s="189"/>
      <c r="L57" s="189"/>
      <c r="M57" s="189"/>
      <c r="N57" s="189"/>
      <c r="O57" s="189"/>
      <c r="P57" s="189"/>
      <c r="Q57" s="189"/>
      <c r="R57" s="189"/>
      <c r="S57" s="189"/>
      <c r="T57" s="189"/>
      <c r="U57" s="189"/>
      <c r="V57" s="216"/>
      <c r="W57" s="216"/>
      <c r="X57" s="216"/>
      <c r="Y57" s="216"/>
      <c r="Z57" s="216"/>
      <c r="AA57" s="216"/>
      <c r="AB57" s="216"/>
      <c r="AC57" s="216"/>
      <c r="AD57" s="216"/>
      <c r="AE57" s="216"/>
      <c r="AF57" s="189"/>
      <c r="AG57" s="189"/>
      <c r="AH57" s="142"/>
      <c r="AI57" s="142"/>
      <c r="AJ57" s="142"/>
      <c r="AK57" s="142"/>
      <c r="AL57" s="142"/>
      <c r="AM57" s="142"/>
      <c r="AN57" s="142"/>
      <c r="AO57" s="142"/>
      <c r="AP57" s="142"/>
      <c r="AQ57" s="142"/>
      <c r="AR57" s="142"/>
      <c r="AS57" s="142"/>
      <c r="AT57" s="142"/>
      <c r="AU57" s="142"/>
      <c r="AV57" s="189"/>
      <c r="AW57" s="189"/>
      <c r="AX57" s="189"/>
      <c r="AY57" s="189"/>
      <c r="AZ57" s="189"/>
    </row>
    <row r="58" spans="1:52">
      <c r="A58" s="189"/>
      <c r="B58" s="189"/>
      <c r="C58" s="189"/>
      <c r="D58" s="190"/>
      <c r="E58" s="189"/>
      <c r="F58" s="189"/>
      <c r="G58" s="189"/>
      <c r="H58" s="189"/>
      <c r="I58" s="189"/>
      <c r="J58" s="189"/>
      <c r="K58" s="189"/>
      <c r="L58" s="189"/>
      <c r="M58" s="189"/>
      <c r="N58" s="189"/>
      <c r="O58" s="189"/>
      <c r="P58" s="189"/>
      <c r="Q58" s="189"/>
      <c r="R58" s="189"/>
      <c r="S58" s="189"/>
      <c r="T58" s="189"/>
      <c r="U58" s="189"/>
      <c r="V58" s="216"/>
      <c r="W58" s="216"/>
      <c r="X58" s="216"/>
      <c r="Y58" s="216"/>
      <c r="Z58" s="216"/>
      <c r="AA58" s="216"/>
      <c r="AB58" s="216"/>
      <c r="AC58" s="216"/>
      <c r="AD58" s="216"/>
      <c r="AE58" s="216"/>
      <c r="AF58" s="189"/>
      <c r="AG58" s="189"/>
      <c r="AH58" s="142"/>
      <c r="AI58" s="142"/>
      <c r="AJ58" s="142"/>
      <c r="AK58" s="142"/>
      <c r="AL58" s="142"/>
      <c r="AM58" s="142"/>
      <c r="AN58" s="142"/>
      <c r="AO58" s="142"/>
      <c r="AP58" s="142"/>
      <c r="AQ58" s="142"/>
      <c r="AR58" s="142"/>
      <c r="AS58" s="142"/>
      <c r="AT58" s="142"/>
      <c r="AU58" s="142"/>
      <c r="AV58" s="189"/>
      <c r="AW58" s="189"/>
      <c r="AX58" s="189"/>
      <c r="AY58" s="189"/>
      <c r="AZ58" s="189"/>
    </row>
    <row r="59" spans="1:52">
      <c r="A59" s="189"/>
      <c r="B59" s="189"/>
      <c r="C59" s="189"/>
      <c r="D59" s="190"/>
      <c r="E59" s="189"/>
      <c r="F59" s="189"/>
      <c r="G59" s="189"/>
      <c r="H59" s="189"/>
      <c r="I59" s="189"/>
      <c r="J59" s="189"/>
      <c r="K59" s="189"/>
      <c r="L59" s="189"/>
      <c r="M59" s="189"/>
      <c r="N59" s="189"/>
      <c r="O59" s="189"/>
      <c r="P59" s="189"/>
      <c r="Q59" s="189"/>
      <c r="R59" s="189"/>
      <c r="S59" s="189"/>
      <c r="T59" s="189"/>
      <c r="U59" s="189"/>
      <c r="V59" s="216"/>
      <c r="W59" s="216"/>
      <c r="X59" s="216"/>
      <c r="Y59" s="216"/>
      <c r="Z59" s="216"/>
      <c r="AA59" s="216"/>
      <c r="AB59" s="216"/>
      <c r="AC59" s="216"/>
      <c r="AD59" s="216"/>
      <c r="AE59" s="216"/>
      <c r="AF59" s="189"/>
      <c r="AG59" s="189"/>
      <c r="AH59" s="142"/>
      <c r="AI59" s="142"/>
      <c r="AJ59" s="142"/>
      <c r="AK59" s="142"/>
      <c r="AL59" s="142"/>
      <c r="AM59" s="142"/>
      <c r="AN59" s="142"/>
      <c r="AO59" s="142"/>
      <c r="AP59" s="142"/>
      <c r="AQ59" s="142"/>
      <c r="AR59" s="142"/>
      <c r="AS59" s="142"/>
      <c r="AT59" s="142"/>
      <c r="AU59" s="142"/>
      <c r="AV59" s="189"/>
      <c r="AW59" s="189"/>
      <c r="AX59" s="189"/>
      <c r="AY59" s="189"/>
      <c r="AZ59" s="189"/>
    </row>
    <row r="60" spans="1:52">
      <c r="A60" s="189"/>
      <c r="B60" s="189"/>
      <c r="C60" s="189"/>
      <c r="D60" s="190"/>
      <c r="E60" s="189"/>
      <c r="F60" s="189"/>
      <c r="G60" s="189"/>
      <c r="H60" s="189"/>
      <c r="I60" s="189"/>
      <c r="J60" s="189"/>
      <c r="K60" s="189"/>
      <c r="L60" s="189"/>
      <c r="M60" s="189"/>
      <c r="N60" s="189"/>
      <c r="O60" s="189"/>
      <c r="P60" s="189"/>
      <c r="Q60" s="189"/>
      <c r="R60" s="189"/>
      <c r="S60" s="189"/>
      <c r="T60" s="189"/>
      <c r="U60" s="189"/>
      <c r="V60" s="216"/>
      <c r="W60" s="216"/>
      <c r="X60" s="216"/>
      <c r="Y60" s="216"/>
      <c r="Z60" s="216"/>
      <c r="AA60" s="216"/>
      <c r="AB60" s="216"/>
      <c r="AC60" s="216"/>
      <c r="AD60" s="216"/>
      <c r="AE60" s="216"/>
      <c r="AF60" s="189"/>
      <c r="AG60" s="189"/>
      <c r="AH60" s="142"/>
      <c r="AI60" s="142"/>
      <c r="AJ60" s="142"/>
      <c r="AK60" s="142"/>
      <c r="AL60" s="142"/>
      <c r="AM60" s="142"/>
      <c r="AN60" s="142"/>
      <c r="AO60" s="142"/>
      <c r="AP60" s="142"/>
      <c r="AQ60" s="142"/>
      <c r="AR60" s="142"/>
      <c r="AS60" s="142"/>
      <c r="AT60" s="142"/>
      <c r="AU60" s="142"/>
      <c r="AV60" s="189"/>
      <c r="AW60" s="189"/>
      <c r="AX60" s="189"/>
      <c r="AY60" s="189"/>
      <c r="AZ60" s="189"/>
    </row>
    <row r="61" spans="1:52">
      <c r="A61" s="189"/>
      <c r="B61" s="189"/>
      <c r="C61" s="189"/>
      <c r="D61" s="190"/>
      <c r="E61" s="189"/>
      <c r="F61" s="189"/>
      <c r="G61" s="189"/>
      <c r="H61" s="189"/>
      <c r="I61" s="189"/>
      <c r="J61" s="189"/>
      <c r="K61" s="189"/>
      <c r="L61" s="189"/>
      <c r="M61" s="189"/>
      <c r="N61" s="189"/>
      <c r="O61" s="189"/>
      <c r="P61" s="189"/>
      <c r="Q61" s="189"/>
      <c r="R61" s="189"/>
      <c r="S61" s="189"/>
      <c r="T61" s="189"/>
      <c r="U61" s="189"/>
      <c r="V61" s="216"/>
      <c r="W61" s="216"/>
      <c r="X61" s="216"/>
      <c r="Y61" s="216"/>
      <c r="Z61" s="216"/>
      <c r="AA61" s="216"/>
      <c r="AB61" s="216"/>
      <c r="AC61" s="216"/>
      <c r="AD61" s="216"/>
      <c r="AE61" s="216"/>
      <c r="AF61" s="189"/>
      <c r="AG61" s="189"/>
      <c r="AH61" s="142"/>
      <c r="AI61" s="142"/>
      <c r="AJ61" s="142"/>
      <c r="AK61" s="142"/>
      <c r="AL61" s="142"/>
      <c r="AM61" s="142"/>
      <c r="AN61" s="142"/>
      <c r="AO61" s="142"/>
      <c r="AP61" s="142"/>
      <c r="AQ61" s="142"/>
      <c r="AR61" s="142"/>
      <c r="AS61" s="142"/>
      <c r="AT61" s="142"/>
      <c r="AU61" s="142"/>
      <c r="AV61" s="189"/>
      <c r="AW61" s="189"/>
      <c r="AX61" s="189"/>
      <c r="AY61" s="189"/>
      <c r="AZ61" s="189"/>
    </row>
    <row r="62" spans="1:52">
      <c r="A62" s="189"/>
      <c r="B62" s="189"/>
      <c r="C62" s="189"/>
      <c r="D62" s="190"/>
      <c r="E62" s="189"/>
      <c r="F62" s="189"/>
      <c r="G62" s="189"/>
      <c r="H62" s="189"/>
      <c r="I62" s="189"/>
      <c r="J62" s="189"/>
      <c r="K62" s="189"/>
      <c r="L62" s="189"/>
      <c r="M62" s="189"/>
      <c r="N62" s="189"/>
      <c r="O62" s="189"/>
      <c r="P62" s="189"/>
      <c r="Q62" s="189"/>
      <c r="R62" s="189"/>
      <c r="S62" s="189"/>
      <c r="T62" s="189"/>
      <c r="U62" s="189"/>
      <c r="V62" s="216"/>
      <c r="W62" s="216"/>
      <c r="X62" s="216"/>
      <c r="Y62" s="216"/>
      <c r="Z62" s="216"/>
      <c r="AA62" s="216"/>
      <c r="AB62" s="216"/>
      <c r="AC62" s="216"/>
      <c r="AD62" s="216"/>
      <c r="AE62" s="216"/>
      <c r="AF62" s="189"/>
      <c r="AG62" s="189"/>
      <c r="AH62" s="142"/>
      <c r="AI62" s="142"/>
      <c r="AJ62" s="142"/>
      <c r="AK62" s="142"/>
      <c r="AL62" s="142"/>
      <c r="AM62" s="142"/>
      <c r="AN62" s="142"/>
      <c r="AO62" s="142"/>
      <c r="AP62" s="142"/>
      <c r="AQ62" s="142"/>
      <c r="AR62" s="142"/>
      <c r="AS62" s="142"/>
      <c r="AT62" s="142"/>
      <c r="AU62" s="142"/>
      <c r="AV62" s="189"/>
      <c r="AW62" s="189"/>
      <c r="AX62" s="189"/>
      <c r="AY62" s="189"/>
      <c r="AZ62" s="189"/>
    </row>
    <row r="63" spans="1:52">
      <c r="A63" s="189"/>
      <c r="B63" s="189"/>
      <c r="C63" s="189"/>
      <c r="D63" s="190"/>
      <c r="E63" s="189"/>
      <c r="F63" s="189"/>
      <c r="G63" s="189"/>
      <c r="H63" s="189"/>
      <c r="I63" s="189"/>
      <c r="J63" s="189"/>
      <c r="K63" s="189"/>
      <c r="L63" s="189"/>
      <c r="M63" s="189"/>
      <c r="N63" s="189"/>
      <c r="O63" s="189"/>
      <c r="P63" s="189"/>
      <c r="Q63" s="189"/>
      <c r="R63" s="189"/>
      <c r="S63" s="189"/>
      <c r="T63" s="189"/>
      <c r="U63" s="189"/>
      <c r="V63" s="216"/>
      <c r="W63" s="216"/>
      <c r="X63" s="216"/>
      <c r="Y63" s="216"/>
      <c r="Z63" s="216"/>
      <c r="AA63" s="216"/>
      <c r="AB63" s="216"/>
      <c r="AC63" s="216"/>
      <c r="AD63" s="216"/>
      <c r="AE63" s="216"/>
      <c r="AF63" s="189"/>
      <c r="AG63" s="189"/>
      <c r="AH63" s="142"/>
      <c r="AI63" s="142"/>
      <c r="AJ63" s="142"/>
      <c r="AK63" s="142"/>
      <c r="AL63" s="142"/>
      <c r="AM63" s="142"/>
      <c r="AN63" s="142"/>
      <c r="AO63" s="142"/>
      <c r="AP63" s="142"/>
      <c r="AQ63" s="142"/>
      <c r="AR63" s="142"/>
      <c r="AS63" s="142"/>
      <c r="AT63" s="142"/>
      <c r="AU63" s="142"/>
      <c r="AV63" s="189"/>
      <c r="AW63" s="189"/>
      <c r="AX63" s="189"/>
      <c r="AY63" s="189"/>
      <c r="AZ63" s="189"/>
    </row>
    <row r="64" spans="1:52">
      <c r="A64" s="189"/>
      <c r="B64" s="189"/>
      <c r="C64" s="189"/>
      <c r="D64" s="190"/>
      <c r="E64" s="189"/>
      <c r="F64" s="189"/>
      <c r="G64" s="189"/>
      <c r="H64" s="189"/>
      <c r="I64" s="189"/>
      <c r="J64" s="189"/>
      <c r="K64" s="189"/>
      <c r="L64" s="189"/>
      <c r="M64" s="189"/>
      <c r="N64" s="189"/>
      <c r="O64" s="189"/>
      <c r="P64" s="189"/>
      <c r="Q64" s="189"/>
      <c r="R64" s="189"/>
      <c r="S64" s="189"/>
      <c r="T64" s="189"/>
      <c r="U64" s="189"/>
      <c r="V64" s="216"/>
      <c r="W64" s="216"/>
      <c r="X64" s="216"/>
      <c r="Y64" s="216"/>
      <c r="Z64" s="216"/>
      <c r="AA64" s="216"/>
      <c r="AB64" s="216"/>
      <c r="AC64" s="216"/>
      <c r="AD64" s="216"/>
      <c r="AE64" s="216"/>
      <c r="AF64" s="189"/>
      <c r="AG64" s="189"/>
      <c r="AH64" s="142"/>
      <c r="AI64" s="142"/>
      <c r="AJ64" s="142"/>
      <c r="AK64" s="142"/>
      <c r="AL64" s="142"/>
      <c r="AM64" s="142"/>
      <c r="AN64" s="142"/>
      <c r="AO64" s="142"/>
      <c r="AP64" s="142"/>
      <c r="AQ64" s="142"/>
      <c r="AR64" s="142"/>
      <c r="AS64" s="142"/>
      <c r="AT64" s="142"/>
      <c r="AU64" s="142"/>
      <c r="AV64" s="189"/>
      <c r="AW64" s="189"/>
      <c r="AX64" s="189"/>
      <c r="AY64" s="189"/>
      <c r="AZ64" s="189"/>
    </row>
    <row r="65" spans="1:52">
      <c r="A65" s="189"/>
      <c r="B65" s="189"/>
      <c r="C65" s="189"/>
      <c r="D65" s="190"/>
      <c r="E65" s="189"/>
      <c r="F65" s="189"/>
      <c r="G65" s="189"/>
      <c r="H65" s="189"/>
      <c r="I65" s="189"/>
      <c r="J65" s="189"/>
      <c r="K65" s="189"/>
      <c r="L65" s="189"/>
      <c r="M65" s="189"/>
      <c r="N65" s="189"/>
      <c r="O65" s="189"/>
      <c r="P65" s="189"/>
      <c r="Q65" s="189"/>
      <c r="R65" s="189"/>
      <c r="S65" s="189"/>
      <c r="T65" s="189"/>
      <c r="U65" s="189"/>
      <c r="V65" s="216"/>
      <c r="W65" s="216"/>
      <c r="X65" s="216"/>
      <c r="Y65" s="216"/>
      <c r="Z65" s="216"/>
      <c r="AA65" s="216"/>
      <c r="AB65" s="216"/>
      <c r="AC65" s="216"/>
      <c r="AD65" s="216"/>
      <c r="AE65" s="216"/>
      <c r="AF65" s="189"/>
      <c r="AG65" s="189"/>
      <c r="AH65" s="142"/>
      <c r="AI65" s="142"/>
      <c r="AJ65" s="142"/>
      <c r="AK65" s="142"/>
      <c r="AL65" s="142"/>
      <c r="AM65" s="142"/>
      <c r="AN65" s="142"/>
      <c r="AO65" s="142"/>
      <c r="AP65" s="142"/>
      <c r="AQ65" s="142"/>
      <c r="AR65" s="142"/>
      <c r="AS65" s="142"/>
      <c r="AT65" s="142"/>
      <c r="AU65" s="142"/>
      <c r="AV65" s="189"/>
      <c r="AW65" s="189"/>
      <c r="AX65" s="189"/>
      <c r="AY65" s="189"/>
      <c r="AZ65" s="189"/>
    </row>
    <row r="66" spans="1:52">
      <c r="A66" s="189"/>
      <c r="B66" s="189"/>
      <c r="C66" s="189"/>
      <c r="D66" s="190"/>
      <c r="E66" s="189"/>
      <c r="F66" s="189"/>
      <c r="G66" s="189"/>
      <c r="H66" s="189"/>
      <c r="I66" s="189"/>
      <c r="J66" s="189"/>
      <c r="K66" s="189"/>
      <c r="L66" s="189"/>
      <c r="M66" s="189"/>
      <c r="N66" s="189"/>
      <c r="O66" s="189"/>
      <c r="P66" s="189"/>
      <c r="Q66" s="189"/>
      <c r="R66" s="189"/>
      <c r="S66" s="189"/>
      <c r="T66" s="189"/>
      <c r="U66" s="189"/>
      <c r="V66" s="216"/>
      <c r="W66" s="216"/>
      <c r="X66" s="216"/>
      <c r="Y66" s="216"/>
      <c r="Z66" s="216"/>
      <c r="AA66" s="216"/>
      <c r="AB66" s="216"/>
      <c r="AC66" s="216"/>
      <c r="AD66" s="216"/>
      <c r="AE66" s="216"/>
      <c r="AF66" s="189"/>
      <c r="AG66" s="189"/>
      <c r="AH66" s="142"/>
      <c r="AI66" s="142"/>
      <c r="AJ66" s="142"/>
      <c r="AK66" s="142"/>
      <c r="AL66" s="142"/>
      <c r="AM66" s="142"/>
      <c r="AN66" s="142"/>
      <c r="AO66" s="142"/>
      <c r="AP66" s="142"/>
      <c r="AQ66" s="142"/>
      <c r="AR66" s="142"/>
      <c r="AS66" s="142"/>
      <c r="AT66" s="142"/>
      <c r="AU66" s="142"/>
      <c r="AV66" s="189"/>
      <c r="AW66" s="189"/>
      <c r="AX66" s="189"/>
      <c r="AY66" s="189"/>
      <c r="AZ66" s="189"/>
    </row>
    <row r="67" spans="1:52">
      <c r="A67" s="189"/>
      <c r="B67" s="189"/>
      <c r="C67" s="189"/>
      <c r="D67" s="190"/>
      <c r="E67" s="189"/>
      <c r="F67" s="189"/>
      <c r="G67" s="189"/>
      <c r="H67" s="189"/>
      <c r="I67" s="189"/>
      <c r="J67" s="189"/>
      <c r="K67" s="189"/>
      <c r="L67" s="189"/>
      <c r="M67" s="189"/>
      <c r="N67" s="189"/>
      <c r="O67" s="189"/>
      <c r="P67" s="189"/>
      <c r="Q67" s="189"/>
      <c r="R67" s="189"/>
      <c r="S67" s="189"/>
      <c r="T67" s="189"/>
      <c r="U67" s="189"/>
      <c r="V67" s="216"/>
      <c r="W67" s="216"/>
      <c r="X67" s="216"/>
      <c r="Y67" s="216"/>
      <c r="Z67" s="216"/>
      <c r="AA67" s="216"/>
      <c r="AB67" s="216"/>
      <c r="AC67" s="216"/>
      <c r="AD67" s="216"/>
      <c r="AE67" s="216"/>
      <c r="AF67" s="189"/>
      <c r="AG67" s="189"/>
      <c r="AH67" s="142"/>
      <c r="AI67" s="142"/>
      <c r="AJ67" s="142"/>
      <c r="AK67" s="142"/>
      <c r="AL67" s="142"/>
      <c r="AM67" s="142"/>
      <c r="AN67" s="142"/>
      <c r="AO67" s="142"/>
      <c r="AP67" s="142"/>
      <c r="AQ67" s="142"/>
      <c r="AR67" s="142"/>
      <c r="AS67" s="142"/>
      <c r="AT67" s="142"/>
      <c r="AU67" s="142"/>
      <c r="AV67" s="189"/>
      <c r="AW67" s="189"/>
      <c r="AX67" s="189"/>
      <c r="AY67" s="189"/>
      <c r="AZ67" s="189"/>
    </row>
    <row r="68" spans="1:52">
      <c r="A68" s="189"/>
      <c r="B68" s="189"/>
      <c r="C68" s="189"/>
      <c r="D68" s="190"/>
      <c r="E68" s="189"/>
      <c r="F68" s="189"/>
      <c r="G68" s="189"/>
      <c r="H68" s="189"/>
      <c r="I68" s="189"/>
      <c r="J68" s="189"/>
      <c r="K68" s="189"/>
      <c r="L68" s="189"/>
      <c r="M68" s="189"/>
      <c r="N68" s="189"/>
      <c r="O68" s="189"/>
      <c r="P68" s="189"/>
      <c r="Q68" s="189"/>
      <c r="R68" s="189"/>
      <c r="S68" s="189"/>
      <c r="T68" s="189"/>
      <c r="U68" s="189"/>
      <c r="V68" s="216"/>
      <c r="W68" s="216"/>
      <c r="X68" s="216"/>
      <c r="Y68" s="216"/>
      <c r="Z68" s="216"/>
      <c r="AA68" s="216"/>
      <c r="AB68" s="216"/>
      <c r="AC68" s="216"/>
      <c r="AD68" s="216"/>
      <c r="AE68" s="216"/>
      <c r="AF68" s="189"/>
      <c r="AG68" s="189"/>
      <c r="AH68" s="142"/>
      <c r="AI68" s="142"/>
      <c r="AJ68" s="142"/>
      <c r="AK68" s="142"/>
      <c r="AL68" s="142"/>
      <c r="AM68" s="142"/>
      <c r="AN68" s="142"/>
      <c r="AO68" s="142"/>
      <c r="AP68" s="142"/>
      <c r="AQ68" s="142"/>
      <c r="AR68" s="142"/>
      <c r="AS68" s="142"/>
      <c r="AT68" s="142"/>
      <c r="AU68" s="142"/>
      <c r="AV68" s="189"/>
      <c r="AW68" s="189"/>
      <c r="AX68" s="189"/>
      <c r="AY68" s="189"/>
      <c r="AZ68" s="189"/>
    </row>
    <row r="69" spans="1:52">
      <c r="A69" s="189"/>
      <c r="B69" s="189"/>
      <c r="C69" s="189"/>
      <c r="D69" s="190"/>
      <c r="E69" s="189"/>
      <c r="F69" s="189"/>
      <c r="G69" s="189"/>
      <c r="H69" s="189"/>
      <c r="I69" s="189"/>
      <c r="J69" s="189"/>
      <c r="K69" s="189"/>
      <c r="L69" s="189"/>
      <c r="M69" s="189"/>
      <c r="N69" s="189"/>
      <c r="O69" s="189"/>
      <c r="P69" s="189"/>
      <c r="Q69" s="189"/>
      <c r="R69" s="189"/>
      <c r="S69" s="189"/>
      <c r="T69" s="189"/>
      <c r="U69" s="189"/>
      <c r="V69" s="216"/>
      <c r="W69" s="216"/>
      <c r="X69" s="216"/>
      <c r="Y69" s="216"/>
      <c r="Z69" s="216"/>
      <c r="AA69" s="216"/>
      <c r="AB69" s="216"/>
      <c r="AC69" s="216"/>
      <c r="AD69" s="216"/>
      <c r="AE69" s="216"/>
      <c r="AF69" s="189"/>
      <c r="AG69" s="189"/>
      <c r="AH69" s="142"/>
      <c r="AI69" s="142"/>
      <c r="AJ69" s="142"/>
      <c r="AK69" s="142"/>
      <c r="AL69" s="142"/>
      <c r="AM69" s="142"/>
      <c r="AN69" s="142"/>
      <c r="AO69" s="142"/>
      <c r="AP69" s="142"/>
      <c r="AQ69" s="142"/>
      <c r="AR69" s="142"/>
      <c r="AS69" s="142"/>
      <c r="AT69" s="142"/>
      <c r="AU69" s="142"/>
      <c r="AV69" s="189"/>
      <c r="AW69" s="189"/>
      <c r="AX69" s="189"/>
      <c r="AY69" s="189"/>
      <c r="AZ69" s="189"/>
    </row>
    <row r="70" spans="1:52">
      <c r="A70" s="189"/>
      <c r="B70" s="189"/>
      <c r="C70" s="189"/>
      <c r="D70" s="190"/>
      <c r="E70" s="189"/>
      <c r="F70" s="189"/>
      <c r="G70" s="189"/>
      <c r="H70" s="189"/>
      <c r="I70" s="189"/>
      <c r="J70" s="189"/>
      <c r="K70" s="189"/>
      <c r="L70" s="189"/>
      <c r="M70" s="189"/>
      <c r="N70" s="189"/>
      <c r="O70" s="189"/>
      <c r="P70" s="189"/>
      <c r="Q70" s="189"/>
      <c r="R70" s="189"/>
      <c r="S70" s="189"/>
      <c r="T70" s="189"/>
      <c r="U70" s="189"/>
      <c r="V70" s="216"/>
      <c r="W70" s="216"/>
      <c r="X70" s="216"/>
      <c r="Y70" s="216"/>
      <c r="Z70" s="216"/>
      <c r="AA70" s="216"/>
      <c r="AB70" s="216"/>
      <c r="AC70" s="216"/>
      <c r="AD70" s="216"/>
      <c r="AE70" s="216"/>
      <c r="AF70" s="189"/>
      <c r="AG70" s="189"/>
      <c r="AH70" s="142"/>
      <c r="AI70" s="142"/>
      <c r="AJ70" s="142"/>
      <c r="AK70" s="142"/>
      <c r="AL70" s="142"/>
      <c r="AM70" s="142"/>
      <c r="AN70" s="142"/>
      <c r="AO70" s="142"/>
      <c r="AP70" s="142"/>
      <c r="AQ70" s="142"/>
      <c r="AR70" s="142"/>
      <c r="AS70" s="142"/>
      <c r="AT70" s="142"/>
      <c r="AU70" s="142"/>
      <c r="AV70" s="189"/>
      <c r="AW70" s="189"/>
      <c r="AX70" s="189"/>
      <c r="AY70" s="189"/>
      <c r="AZ70" s="189"/>
    </row>
    <row r="71" spans="1:52">
      <c r="A71" s="189"/>
      <c r="B71" s="189"/>
      <c r="C71" s="189"/>
      <c r="D71" s="190"/>
      <c r="E71" s="189"/>
      <c r="F71" s="189"/>
      <c r="G71" s="189"/>
      <c r="H71" s="189"/>
      <c r="I71" s="189"/>
      <c r="J71" s="189"/>
      <c r="K71" s="189"/>
      <c r="L71" s="189"/>
      <c r="M71" s="189"/>
      <c r="N71" s="189"/>
      <c r="O71" s="189"/>
      <c r="P71" s="189"/>
      <c r="Q71" s="189"/>
      <c r="R71" s="189"/>
      <c r="S71" s="189"/>
      <c r="T71" s="189"/>
      <c r="U71" s="189"/>
      <c r="V71" s="216"/>
      <c r="W71" s="216"/>
      <c r="X71" s="216"/>
      <c r="Y71" s="216"/>
      <c r="Z71" s="216"/>
      <c r="AA71" s="216"/>
      <c r="AB71" s="216"/>
      <c r="AC71" s="216"/>
      <c r="AD71" s="216"/>
      <c r="AE71" s="216"/>
      <c r="AF71" s="189"/>
      <c r="AG71" s="189"/>
      <c r="AH71" s="142"/>
      <c r="AI71" s="142"/>
      <c r="AJ71" s="142"/>
      <c r="AK71" s="142"/>
      <c r="AL71" s="142"/>
      <c r="AM71" s="142"/>
      <c r="AN71" s="142"/>
      <c r="AO71" s="142"/>
      <c r="AP71" s="142"/>
      <c r="AQ71" s="142"/>
      <c r="AR71" s="142"/>
      <c r="AS71" s="142"/>
      <c r="AT71" s="142"/>
      <c r="AU71" s="142"/>
      <c r="AV71" s="189"/>
      <c r="AW71" s="189"/>
      <c r="AX71" s="189"/>
      <c r="AY71" s="189"/>
      <c r="AZ71" s="189"/>
    </row>
    <row r="72" spans="1:52">
      <c r="A72" s="189"/>
      <c r="B72" s="189"/>
      <c r="C72" s="189"/>
      <c r="D72" s="190"/>
      <c r="E72" s="189"/>
      <c r="F72" s="189"/>
      <c r="G72" s="189"/>
      <c r="H72" s="189"/>
      <c r="I72" s="189"/>
      <c r="J72" s="189"/>
      <c r="K72" s="189"/>
      <c r="L72" s="189"/>
      <c r="M72" s="189"/>
      <c r="N72" s="189"/>
      <c r="O72" s="189"/>
      <c r="P72" s="189"/>
      <c r="Q72" s="189"/>
      <c r="R72" s="189"/>
      <c r="S72" s="189"/>
      <c r="T72" s="189"/>
      <c r="U72" s="189"/>
      <c r="V72" s="216"/>
      <c r="W72" s="216"/>
      <c r="X72" s="216"/>
      <c r="Y72" s="216"/>
      <c r="Z72" s="216"/>
      <c r="AA72" s="216"/>
      <c r="AB72" s="216"/>
      <c r="AC72" s="216"/>
      <c r="AD72" s="216"/>
      <c r="AE72" s="216"/>
      <c r="AF72" s="189"/>
      <c r="AG72" s="189"/>
      <c r="AH72" s="142"/>
      <c r="AI72" s="142"/>
      <c r="AJ72" s="142"/>
      <c r="AK72" s="142"/>
      <c r="AL72" s="142"/>
      <c r="AM72" s="142"/>
      <c r="AN72" s="142"/>
      <c r="AO72" s="142"/>
      <c r="AP72" s="142"/>
      <c r="AQ72" s="142"/>
      <c r="AR72" s="142"/>
      <c r="AS72" s="142"/>
      <c r="AT72" s="142"/>
      <c r="AU72" s="142"/>
      <c r="AV72" s="189"/>
      <c r="AW72" s="189"/>
      <c r="AX72" s="189"/>
      <c r="AY72" s="189"/>
      <c r="AZ72" s="189"/>
    </row>
    <row r="73" spans="1:52">
      <c r="A73" s="189"/>
      <c r="B73" s="189"/>
      <c r="C73" s="189"/>
      <c r="D73" s="190"/>
      <c r="E73" s="189"/>
      <c r="F73" s="189"/>
      <c r="G73" s="189"/>
      <c r="H73" s="189"/>
      <c r="I73" s="189"/>
      <c r="J73" s="189"/>
      <c r="K73" s="189"/>
      <c r="L73" s="189"/>
      <c r="M73" s="189"/>
      <c r="N73" s="189"/>
      <c r="O73" s="189"/>
      <c r="P73" s="189"/>
      <c r="Q73" s="189"/>
      <c r="R73" s="189"/>
      <c r="S73" s="189"/>
      <c r="T73" s="189"/>
      <c r="U73" s="189"/>
      <c r="V73" s="216"/>
      <c r="W73" s="216"/>
      <c r="X73" s="216"/>
      <c r="Y73" s="216"/>
      <c r="Z73" s="216"/>
      <c r="AA73" s="216"/>
      <c r="AB73" s="216"/>
      <c r="AC73" s="216"/>
      <c r="AD73" s="216"/>
      <c r="AE73" s="216"/>
      <c r="AF73" s="189"/>
      <c r="AG73" s="189"/>
      <c r="AH73" s="142"/>
      <c r="AI73" s="142"/>
      <c r="AJ73" s="142"/>
      <c r="AK73" s="142"/>
      <c r="AL73" s="142"/>
      <c r="AM73" s="142"/>
      <c r="AN73" s="142"/>
      <c r="AO73" s="142"/>
      <c r="AP73" s="142"/>
      <c r="AQ73" s="142"/>
      <c r="AR73" s="142"/>
      <c r="AS73" s="142"/>
      <c r="AT73" s="142"/>
      <c r="AU73" s="142"/>
      <c r="AV73" s="189"/>
      <c r="AW73" s="189"/>
      <c r="AX73" s="189"/>
      <c r="AY73" s="189"/>
      <c r="AZ73" s="189"/>
    </row>
    <row r="74" spans="1:52">
      <c r="A74" s="189"/>
      <c r="B74" s="189"/>
      <c r="C74" s="189"/>
      <c r="D74" s="190"/>
      <c r="E74" s="189"/>
      <c r="F74" s="189"/>
      <c r="G74" s="189"/>
      <c r="H74" s="189"/>
      <c r="I74" s="189"/>
      <c r="J74" s="189"/>
      <c r="K74" s="189"/>
      <c r="L74" s="189"/>
      <c r="M74" s="189"/>
      <c r="N74" s="189"/>
      <c r="O74" s="189"/>
      <c r="P74" s="189"/>
      <c r="Q74" s="189"/>
      <c r="R74" s="189"/>
      <c r="S74" s="189"/>
      <c r="T74" s="189"/>
      <c r="U74" s="189"/>
      <c r="V74" s="216"/>
      <c r="W74" s="216"/>
      <c r="X74" s="216"/>
      <c r="Y74" s="216"/>
      <c r="Z74" s="216"/>
      <c r="AA74" s="216"/>
      <c r="AB74" s="216"/>
      <c r="AC74" s="216"/>
      <c r="AD74" s="216"/>
      <c r="AE74" s="216"/>
      <c r="AF74" s="189"/>
      <c r="AG74" s="189"/>
      <c r="AH74" s="142"/>
      <c r="AI74" s="142"/>
      <c r="AJ74" s="142"/>
      <c r="AK74" s="142"/>
      <c r="AL74" s="142"/>
      <c r="AM74" s="142"/>
      <c r="AN74" s="142"/>
      <c r="AO74" s="142"/>
      <c r="AP74" s="142"/>
      <c r="AQ74" s="142"/>
      <c r="AR74" s="142"/>
      <c r="AS74" s="142"/>
      <c r="AT74" s="142"/>
      <c r="AU74" s="142"/>
      <c r="AV74" s="189"/>
      <c r="AW74" s="189"/>
      <c r="AX74" s="189"/>
      <c r="AY74" s="189"/>
      <c r="AZ74" s="189"/>
    </row>
    <row r="75" spans="1:52">
      <c r="A75" s="189"/>
      <c r="B75" s="189"/>
      <c r="C75" s="189"/>
      <c r="D75" s="190"/>
      <c r="E75" s="189"/>
      <c r="F75" s="189"/>
      <c r="G75" s="189"/>
      <c r="H75" s="189"/>
      <c r="I75" s="189"/>
      <c r="J75" s="189"/>
      <c r="K75" s="189"/>
      <c r="L75" s="189"/>
      <c r="M75" s="189"/>
      <c r="N75" s="189"/>
      <c r="O75" s="189"/>
      <c r="P75" s="189"/>
      <c r="Q75" s="189"/>
      <c r="R75" s="189"/>
      <c r="S75" s="189"/>
      <c r="T75" s="189"/>
      <c r="U75" s="189"/>
      <c r="V75" s="216"/>
      <c r="W75" s="216"/>
      <c r="X75" s="216"/>
      <c r="Y75" s="216"/>
      <c r="Z75" s="216"/>
      <c r="AA75" s="216"/>
      <c r="AB75" s="216"/>
      <c r="AC75" s="216"/>
      <c r="AD75" s="216"/>
      <c r="AE75" s="216"/>
      <c r="AF75" s="189"/>
      <c r="AG75" s="189"/>
      <c r="AH75" s="142"/>
      <c r="AI75" s="142"/>
      <c r="AJ75" s="142"/>
      <c r="AK75" s="142"/>
      <c r="AL75" s="142"/>
      <c r="AM75" s="142"/>
      <c r="AN75" s="142"/>
      <c r="AO75" s="142"/>
      <c r="AP75" s="142"/>
      <c r="AQ75" s="142"/>
      <c r="AR75" s="142"/>
      <c r="AS75" s="142"/>
      <c r="AT75" s="142"/>
      <c r="AU75" s="142"/>
      <c r="AV75" s="189"/>
      <c r="AW75" s="189"/>
      <c r="AX75" s="189"/>
      <c r="AY75" s="189"/>
      <c r="AZ75" s="189"/>
    </row>
    <row r="76" spans="1:52">
      <c r="A76" s="189"/>
      <c r="B76" s="189"/>
      <c r="C76" s="189"/>
      <c r="D76" s="190"/>
      <c r="E76" s="189"/>
      <c r="F76" s="189"/>
      <c r="G76" s="189"/>
      <c r="H76" s="189"/>
      <c r="I76" s="189"/>
      <c r="J76" s="189"/>
      <c r="K76" s="189"/>
      <c r="L76" s="189"/>
      <c r="M76" s="189"/>
      <c r="N76" s="189"/>
      <c r="O76" s="189"/>
      <c r="P76" s="189"/>
      <c r="Q76" s="189"/>
      <c r="R76" s="189"/>
      <c r="S76" s="189"/>
      <c r="T76" s="189"/>
      <c r="U76" s="189"/>
      <c r="V76" s="216"/>
      <c r="W76" s="216"/>
      <c r="X76" s="216"/>
      <c r="Y76" s="216"/>
      <c r="Z76" s="216"/>
      <c r="AA76" s="216"/>
      <c r="AB76" s="216"/>
      <c r="AC76" s="216"/>
      <c r="AD76" s="216"/>
      <c r="AE76" s="216"/>
      <c r="AF76" s="189"/>
      <c r="AG76" s="189"/>
      <c r="AH76" s="142"/>
      <c r="AI76" s="142"/>
      <c r="AJ76" s="142"/>
      <c r="AK76" s="142"/>
      <c r="AL76" s="142"/>
      <c r="AM76" s="142"/>
      <c r="AN76" s="142"/>
      <c r="AO76" s="142"/>
      <c r="AP76" s="142"/>
      <c r="AQ76" s="142"/>
      <c r="AR76" s="142"/>
      <c r="AS76" s="142"/>
      <c r="AT76" s="142"/>
      <c r="AU76" s="142"/>
      <c r="AV76" s="189"/>
      <c r="AW76" s="189"/>
      <c r="AX76" s="189"/>
      <c r="AY76" s="189"/>
      <c r="AZ76" s="189"/>
    </row>
    <row r="77" spans="1:52">
      <c r="A77" s="189"/>
      <c r="B77" s="189"/>
      <c r="C77" s="189"/>
      <c r="D77" s="190"/>
      <c r="E77" s="189"/>
      <c r="F77" s="189"/>
      <c r="G77" s="189"/>
      <c r="H77" s="189"/>
      <c r="I77" s="189"/>
      <c r="J77" s="189"/>
      <c r="K77" s="189"/>
      <c r="L77" s="189"/>
      <c r="M77" s="189"/>
      <c r="N77" s="189"/>
      <c r="O77" s="189"/>
      <c r="P77" s="189"/>
      <c r="Q77" s="189"/>
      <c r="R77" s="189"/>
      <c r="S77" s="189"/>
      <c r="T77" s="189"/>
      <c r="U77" s="189"/>
      <c r="V77" s="216"/>
      <c r="W77" s="216"/>
      <c r="X77" s="216"/>
      <c r="Y77" s="216"/>
      <c r="Z77" s="216"/>
      <c r="AA77" s="216"/>
      <c r="AB77" s="216"/>
      <c r="AC77" s="216"/>
      <c r="AD77" s="216"/>
      <c r="AE77" s="216"/>
      <c r="AF77" s="189"/>
      <c r="AG77" s="189"/>
      <c r="AH77" s="142"/>
      <c r="AI77" s="142"/>
      <c r="AJ77" s="142"/>
      <c r="AK77" s="142"/>
      <c r="AL77" s="142"/>
      <c r="AM77" s="142"/>
      <c r="AN77" s="142"/>
      <c r="AO77" s="142"/>
      <c r="AP77" s="142"/>
      <c r="AQ77" s="142"/>
      <c r="AR77" s="142"/>
      <c r="AS77" s="142"/>
      <c r="AT77" s="142"/>
      <c r="AU77" s="142"/>
      <c r="AV77" s="189"/>
      <c r="AW77" s="189"/>
      <c r="AX77" s="189"/>
      <c r="AY77" s="189"/>
      <c r="AZ77" s="189"/>
    </row>
    <row r="78" spans="1:52">
      <c r="A78" s="189"/>
      <c r="B78" s="189"/>
      <c r="C78" s="189"/>
      <c r="D78" s="190"/>
      <c r="E78" s="189"/>
      <c r="F78" s="189"/>
      <c r="G78" s="189"/>
      <c r="H78" s="189"/>
      <c r="I78" s="189"/>
      <c r="J78" s="189"/>
      <c r="K78" s="189"/>
      <c r="L78" s="189"/>
      <c r="M78" s="189"/>
      <c r="N78" s="189"/>
      <c r="O78" s="189"/>
      <c r="P78" s="189"/>
      <c r="Q78" s="189"/>
      <c r="R78" s="189"/>
      <c r="S78" s="189"/>
      <c r="T78" s="189"/>
      <c r="U78" s="189"/>
      <c r="V78" s="216"/>
      <c r="W78" s="216"/>
      <c r="X78" s="216"/>
      <c r="Y78" s="216"/>
      <c r="Z78" s="216"/>
      <c r="AA78" s="216"/>
      <c r="AB78" s="216"/>
      <c r="AC78" s="216"/>
      <c r="AD78" s="216"/>
      <c r="AE78" s="216"/>
      <c r="AF78" s="189"/>
      <c r="AG78" s="189"/>
      <c r="AH78" s="142"/>
      <c r="AI78" s="142"/>
      <c r="AJ78" s="142"/>
      <c r="AK78" s="142"/>
      <c r="AL78" s="142"/>
      <c r="AM78" s="142"/>
      <c r="AN78" s="142"/>
      <c r="AO78" s="142"/>
      <c r="AP78" s="142"/>
      <c r="AQ78" s="142"/>
      <c r="AR78" s="142"/>
      <c r="AS78" s="142"/>
      <c r="AT78" s="142"/>
      <c r="AU78" s="142"/>
      <c r="AV78" s="189"/>
      <c r="AW78" s="189"/>
      <c r="AX78" s="189"/>
      <c r="AY78" s="189"/>
      <c r="AZ78" s="189"/>
    </row>
    <row r="79" spans="1:52">
      <c r="A79" s="189"/>
      <c r="B79" s="189"/>
      <c r="C79" s="189"/>
      <c r="D79" s="190"/>
      <c r="E79" s="189"/>
      <c r="F79" s="189"/>
      <c r="G79" s="189"/>
      <c r="H79" s="189"/>
      <c r="I79" s="189"/>
      <c r="J79" s="189"/>
      <c r="K79" s="189"/>
      <c r="L79" s="189"/>
      <c r="M79" s="189"/>
      <c r="N79" s="189"/>
      <c r="O79" s="189"/>
      <c r="P79" s="189"/>
      <c r="Q79" s="189"/>
      <c r="R79" s="189"/>
      <c r="S79" s="189"/>
      <c r="T79" s="189"/>
      <c r="U79" s="189"/>
      <c r="V79" s="216"/>
      <c r="W79" s="216"/>
      <c r="X79" s="216"/>
      <c r="Y79" s="216"/>
      <c r="Z79" s="216"/>
      <c r="AA79" s="216"/>
      <c r="AB79" s="216"/>
      <c r="AC79" s="216"/>
      <c r="AD79" s="216"/>
      <c r="AE79" s="216"/>
      <c r="AF79" s="189"/>
      <c r="AG79" s="189"/>
      <c r="AH79" s="142"/>
      <c r="AI79" s="142"/>
      <c r="AJ79" s="142"/>
      <c r="AK79" s="142"/>
      <c r="AL79" s="142"/>
      <c r="AM79" s="142"/>
      <c r="AN79" s="142"/>
      <c r="AO79" s="142"/>
      <c r="AP79" s="142"/>
      <c r="AQ79" s="142"/>
      <c r="AR79" s="142"/>
      <c r="AS79" s="142"/>
      <c r="AT79" s="142"/>
      <c r="AU79" s="142"/>
      <c r="AV79" s="189"/>
      <c r="AW79" s="189"/>
      <c r="AX79" s="189"/>
      <c r="AY79" s="189"/>
      <c r="AZ79" s="189"/>
    </row>
    <row r="80" spans="1:52">
      <c r="A80" s="189"/>
      <c r="B80" s="189"/>
      <c r="C80" s="189"/>
      <c r="D80" s="190"/>
      <c r="E80" s="189"/>
      <c r="F80" s="189"/>
      <c r="G80" s="189"/>
      <c r="H80" s="189"/>
      <c r="I80" s="189"/>
      <c r="J80" s="189"/>
      <c r="K80" s="189"/>
      <c r="L80" s="189"/>
      <c r="M80" s="189"/>
      <c r="N80" s="189"/>
      <c r="O80" s="189"/>
      <c r="P80" s="189"/>
      <c r="Q80" s="189"/>
      <c r="R80" s="189"/>
      <c r="S80" s="189"/>
      <c r="T80" s="189"/>
      <c r="U80" s="189"/>
      <c r="V80" s="216"/>
      <c r="W80" s="216"/>
      <c r="X80" s="216"/>
      <c r="Y80" s="216"/>
      <c r="Z80" s="216"/>
      <c r="AA80" s="216"/>
      <c r="AB80" s="216"/>
      <c r="AC80" s="216"/>
      <c r="AD80" s="216"/>
      <c r="AE80" s="216"/>
      <c r="AF80" s="189"/>
      <c r="AG80" s="189"/>
      <c r="AH80" s="142"/>
      <c r="AI80" s="142"/>
      <c r="AJ80" s="142"/>
      <c r="AK80" s="142"/>
      <c r="AL80" s="142"/>
      <c r="AM80" s="142"/>
      <c r="AN80" s="142"/>
      <c r="AO80" s="142"/>
      <c r="AP80" s="142"/>
      <c r="AQ80" s="142"/>
      <c r="AR80" s="142"/>
      <c r="AS80" s="142"/>
      <c r="AT80" s="142"/>
      <c r="AU80" s="142"/>
      <c r="AV80" s="189"/>
      <c r="AW80" s="189"/>
      <c r="AX80" s="189"/>
      <c r="AY80" s="189"/>
      <c r="AZ80" s="189"/>
    </row>
    <row r="81" spans="1:52">
      <c r="A81" s="189"/>
      <c r="B81" s="189"/>
      <c r="C81" s="189"/>
      <c r="D81" s="190"/>
      <c r="E81" s="189"/>
      <c r="F81" s="189"/>
      <c r="G81" s="189"/>
      <c r="H81" s="189"/>
      <c r="I81" s="189"/>
      <c r="J81" s="189"/>
      <c r="K81" s="189"/>
      <c r="L81" s="189"/>
      <c r="M81" s="189"/>
      <c r="N81" s="189"/>
      <c r="O81" s="189"/>
      <c r="P81" s="189"/>
      <c r="Q81" s="189"/>
      <c r="R81" s="189"/>
      <c r="S81" s="189"/>
      <c r="T81" s="189"/>
      <c r="U81" s="189"/>
      <c r="V81" s="216"/>
      <c r="W81" s="216"/>
      <c r="X81" s="216"/>
      <c r="Y81" s="216"/>
      <c r="Z81" s="216"/>
      <c r="AA81" s="216"/>
      <c r="AB81" s="216"/>
      <c r="AC81" s="216"/>
      <c r="AD81" s="216"/>
      <c r="AE81" s="216"/>
      <c r="AF81" s="189"/>
      <c r="AG81" s="189"/>
      <c r="AH81" s="142"/>
      <c r="AI81" s="142"/>
      <c r="AJ81" s="142"/>
      <c r="AK81" s="142"/>
      <c r="AL81" s="142"/>
      <c r="AM81" s="142"/>
      <c r="AN81" s="142"/>
      <c r="AO81" s="142"/>
      <c r="AP81" s="142"/>
      <c r="AQ81" s="142"/>
      <c r="AR81" s="142"/>
      <c r="AS81" s="142"/>
      <c r="AT81" s="142"/>
      <c r="AU81" s="142"/>
      <c r="AV81" s="189"/>
      <c r="AW81" s="189"/>
      <c r="AX81" s="189"/>
      <c r="AY81" s="189"/>
      <c r="AZ81" s="189"/>
    </row>
    <row r="82" spans="1:52">
      <c r="A82" s="189"/>
      <c r="B82" s="189"/>
      <c r="C82" s="189"/>
      <c r="D82" s="190"/>
      <c r="E82" s="189"/>
      <c r="F82" s="189"/>
      <c r="G82" s="189"/>
      <c r="H82" s="189"/>
      <c r="I82" s="189"/>
      <c r="J82" s="189"/>
      <c r="K82" s="189"/>
      <c r="L82" s="189"/>
      <c r="M82" s="189"/>
      <c r="N82" s="189"/>
      <c r="O82" s="189"/>
      <c r="P82" s="189"/>
      <c r="Q82" s="189"/>
      <c r="R82" s="189"/>
      <c r="S82" s="189"/>
      <c r="T82" s="189"/>
      <c r="U82" s="189"/>
      <c r="V82" s="216"/>
      <c r="W82" s="216"/>
      <c r="X82" s="216"/>
      <c r="Y82" s="216"/>
      <c r="Z82" s="216"/>
      <c r="AA82" s="216"/>
      <c r="AB82" s="216"/>
      <c r="AC82" s="216"/>
      <c r="AD82" s="216"/>
      <c r="AE82" s="216"/>
      <c r="AF82" s="189"/>
      <c r="AG82" s="189"/>
      <c r="AH82" s="142"/>
      <c r="AI82" s="142"/>
      <c r="AJ82" s="142"/>
      <c r="AK82" s="142"/>
      <c r="AL82" s="142"/>
      <c r="AM82" s="142"/>
      <c r="AN82" s="142"/>
      <c r="AO82" s="142"/>
      <c r="AP82" s="142"/>
      <c r="AQ82" s="142"/>
      <c r="AR82" s="142"/>
      <c r="AS82" s="142"/>
      <c r="AT82" s="142"/>
      <c r="AU82" s="142"/>
      <c r="AV82" s="189"/>
      <c r="AW82" s="189"/>
      <c r="AX82" s="189"/>
      <c r="AY82" s="189"/>
      <c r="AZ82" s="189"/>
    </row>
    <row r="83" spans="1:52">
      <c r="A83" s="189"/>
      <c r="B83" s="189"/>
      <c r="C83" s="189"/>
      <c r="D83" s="190"/>
      <c r="E83" s="189"/>
      <c r="F83" s="189"/>
      <c r="G83" s="189"/>
      <c r="H83" s="189"/>
      <c r="I83" s="189"/>
      <c r="J83" s="189"/>
      <c r="K83" s="189"/>
      <c r="L83" s="189"/>
      <c r="M83" s="189"/>
      <c r="N83" s="189"/>
      <c r="O83" s="189"/>
      <c r="P83" s="189"/>
      <c r="Q83" s="189"/>
      <c r="R83" s="189"/>
      <c r="S83" s="189"/>
      <c r="T83" s="189"/>
      <c r="U83" s="189"/>
      <c r="V83" s="216"/>
      <c r="W83" s="216"/>
      <c r="X83" s="216"/>
      <c r="Y83" s="216"/>
      <c r="Z83" s="216"/>
      <c r="AA83" s="216"/>
      <c r="AB83" s="216"/>
      <c r="AC83" s="216"/>
      <c r="AD83" s="216"/>
      <c r="AE83" s="216"/>
      <c r="AF83" s="189"/>
      <c r="AG83" s="189"/>
      <c r="AH83" s="142"/>
      <c r="AI83" s="142"/>
      <c r="AJ83" s="142"/>
      <c r="AK83" s="142"/>
      <c r="AL83" s="142"/>
      <c r="AM83" s="142"/>
      <c r="AN83" s="142"/>
      <c r="AO83" s="142"/>
      <c r="AP83" s="142"/>
      <c r="AQ83" s="142"/>
      <c r="AR83" s="142"/>
      <c r="AS83" s="142"/>
      <c r="AT83" s="142"/>
      <c r="AU83" s="142"/>
      <c r="AV83" s="189"/>
      <c r="AW83" s="189"/>
      <c r="AX83" s="189"/>
      <c r="AY83" s="189"/>
      <c r="AZ83" s="189"/>
    </row>
    <row r="84" spans="1:52">
      <c r="A84" s="189"/>
      <c r="B84" s="189"/>
      <c r="C84" s="189"/>
      <c r="D84" s="190"/>
      <c r="E84" s="189"/>
      <c r="F84" s="189"/>
      <c r="G84" s="189"/>
      <c r="H84" s="189"/>
      <c r="I84" s="189"/>
      <c r="J84" s="189"/>
      <c r="K84" s="189"/>
      <c r="L84" s="189"/>
      <c r="M84" s="189"/>
      <c r="N84" s="189"/>
      <c r="O84" s="189"/>
      <c r="P84" s="189"/>
      <c r="Q84" s="189"/>
      <c r="R84" s="189"/>
      <c r="S84" s="189"/>
      <c r="T84" s="189"/>
      <c r="U84" s="189"/>
      <c r="V84" s="216"/>
      <c r="W84" s="216"/>
      <c r="X84" s="216"/>
      <c r="Y84" s="216"/>
      <c r="Z84" s="216"/>
      <c r="AA84" s="216"/>
      <c r="AB84" s="216"/>
      <c r="AC84" s="216"/>
      <c r="AD84" s="216"/>
      <c r="AE84" s="216"/>
      <c r="AF84" s="189"/>
      <c r="AG84" s="189"/>
      <c r="AH84" s="142"/>
      <c r="AI84" s="142"/>
      <c r="AJ84" s="142"/>
      <c r="AK84" s="142"/>
      <c r="AL84" s="142"/>
      <c r="AM84" s="142"/>
      <c r="AN84" s="142"/>
      <c r="AO84" s="142"/>
      <c r="AP84" s="142"/>
      <c r="AQ84" s="142"/>
      <c r="AR84" s="142"/>
      <c r="AS84" s="142"/>
      <c r="AT84" s="142"/>
      <c r="AU84" s="142"/>
      <c r="AV84" s="189"/>
      <c r="AW84" s="189"/>
      <c r="AX84" s="189"/>
      <c r="AY84" s="189"/>
      <c r="AZ84" s="189"/>
    </row>
    <row r="85" spans="1:52">
      <c r="A85" s="189"/>
      <c r="B85" s="189"/>
      <c r="C85" s="189"/>
      <c r="D85" s="190"/>
      <c r="E85" s="189"/>
      <c r="F85" s="189"/>
      <c r="G85" s="189"/>
      <c r="H85" s="189"/>
      <c r="I85" s="189"/>
      <c r="J85" s="189"/>
      <c r="K85" s="189"/>
      <c r="L85" s="189"/>
      <c r="M85" s="189"/>
      <c r="N85" s="189"/>
      <c r="O85" s="189"/>
      <c r="P85" s="189"/>
      <c r="Q85" s="189"/>
      <c r="R85" s="189"/>
      <c r="S85" s="189"/>
      <c r="T85" s="189"/>
      <c r="U85" s="189"/>
      <c r="V85" s="216"/>
      <c r="W85" s="216"/>
      <c r="X85" s="216"/>
      <c r="Y85" s="216"/>
      <c r="Z85" s="216"/>
      <c r="AA85" s="216"/>
      <c r="AB85" s="216"/>
      <c r="AC85" s="216"/>
      <c r="AD85" s="216"/>
      <c r="AE85" s="216"/>
      <c r="AF85" s="189"/>
      <c r="AG85" s="189"/>
      <c r="AH85" s="142"/>
      <c r="AI85" s="142"/>
      <c r="AJ85" s="142"/>
      <c r="AK85" s="142"/>
      <c r="AL85" s="142"/>
      <c r="AM85" s="142"/>
      <c r="AN85" s="142"/>
      <c r="AO85" s="142"/>
      <c r="AP85" s="142"/>
      <c r="AQ85" s="142"/>
      <c r="AR85" s="142"/>
      <c r="AS85" s="142"/>
      <c r="AT85" s="142"/>
      <c r="AU85" s="142"/>
      <c r="AV85" s="189"/>
      <c r="AW85" s="189"/>
      <c r="AX85" s="189"/>
      <c r="AY85" s="189"/>
      <c r="AZ85" s="189"/>
    </row>
    <row r="86" spans="1:52">
      <c r="A86" s="189"/>
      <c r="B86" s="189"/>
      <c r="C86" s="189"/>
      <c r="D86" s="190"/>
      <c r="E86" s="189"/>
      <c r="F86" s="189"/>
      <c r="G86" s="189"/>
      <c r="H86" s="189"/>
      <c r="I86" s="189"/>
      <c r="J86" s="189"/>
      <c r="K86" s="189"/>
      <c r="L86" s="189"/>
      <c r="M86" s="189"/>
      <c r="N86" s="189"/>
      <c r="O86" s="189"/>
      <c r="P86" s="189"/>
      <c r="Q86" s="189"/>
      <c r="R86" s="189"/>
      <c r="S86" s="189"/>
      <c r="T86" s="189"/>
      <c r="U86" s="189"/>
      <c r="V86" s="216"/>
      <c r="W86" s="216"/>
      <c r="X86" s="216"/>
      <c r="Y86" s="216"/>
      <c r="Z86" s="216"/>
      <c r="AA86" s="216"/>
      <c r="AB86" s="216"/>
      <c r="AC86" s="216"/>
      <c r="AD86" s="216"/>
      <c r="AE86" s="216"/>
      <c r="AF86" s="189"/>
      <c r="AG86" s="189"/>
      <c r="AH86" s="142"/>
      <c r="AI86" s="142"/>
      <c r="AJ86" s="142"/>
      <c r="AK86" s="142"/>
      <c r="AL86" s="142"/>
      <c r="AM86" s="142"/>
      <c r="AN86" s="142"/>
      <c r="AO86" s="142"/>
      <c r="AP86" s="142"/>
      <c r="AQ86" s="142"/>
      <c r="AR86" s="142"/>
      <c r="AS86" s="142"/>
      <c r="AT86" s="142"/>
      <c r="AU86" s="142"/>
      <c r="AV86" s="189"/>
      <c r="AW86" s="189"/>
      <c r="AX86" s="189"/>
      <c r="AY86" s="189"/>
      <c r="AZ86" s="189"/>
    </row>
    <row r="87" spans="1:52">
      <c r="A87" s="189"/>
      <c r="B87" s="189"/>
      <c r="C87" s="189"/>
      <c r="D87" s="190"/>
      <c r="E87" s="189"/>
      <c r="F87" s="189"/>
      <c r="G87" s="189"/>
      <c r="H87" s="189"/>
      <c r="I87" s="189"/>
      <c r="J87" s="189"/>
      <c r="K87" s="189"/>
      <c r="L87" s="189"/>
      <c r="M87" s="189"/>
      <c r="N87" s="189"/>
      <c r="O87" s="189"/>
      <c r="P87" s="189"/>
      <c r="Q87" s="189"/>
      <c r="R87" s="189"/>
      <c r="S87" s="189"/>
      <c r="T87" s="189"/>
      <c r="U87" s="189"/>
      <c r="V87" s="216"/>
      <c r="W87" s="216"/>
      <c r="X87" s="216"/>
      <c r="Y87" s="216"/>
      <c r="Z87" s="216"/>
      <c r="AA87" s="216"/>
      <c r="AB87" s="216"/>
      <c r="AC87" s="216"/>
      <c r="AD87" s="216"/>
      <c r="AE87" s="216"/>
      <c r="AF87" s="189"/>
      <c r="AG87" s="189"/>
      <c r="AH87" s="142"/>
      <c r="AI87" s="142"/>
      <c r="AJ87" s="142"/>
      <c r="AK87" s="142"/>
      <c r="AL87" s="142"/>
      <c r="AM87" s="142"/>
      <c r="AN87" s="142"/>
      <c r="AO87" s="142"/>
      <c r="AP87" s="142"/>
      <c r="AQ87" s="142"/>
      <c r="AR87" s="142"/>
      <c r="AS87" s="142"/>
      <c r="AT87" s="142"/>
      <c r="AU87" s="142"/>
      <c r="AV87" s="189"/>
      <c r="AW87" s="189"/>
      <c r="AX87" s="189"/>
      <c r="AY87" s="189"/>
      <c r="AZ87" s="189"/>
    </row>
    <row r="88" spans="1:52">
      <c r="A88" s="189"/>
      <c r="B88" s="189"/>
      <c r="C88" s="189"/>
      <c r="D88" s="190"/>
      <c r="E88" s="189"/>
      <c r="F88" s="189"/>
      <c r="G88" s="189"/>
      <c r="H88" s="189"/>
      <c r="I88" s="189"/>
      <c r="J88" s="189"/>
      <c r="K88" s="189"/>
      <c r="L88" s="189"/>
      <c r="M88" s="189"/>
      <c r="N88" s="189"/>
      <c r="O88" s="189"/>
      <c r="P88" s="189"/>
      <c r="Q88" s="189"/>
      <c r="R88" s="189"/>
      <c r="S88" s="189"/>
      <c r="T88" s="189"/>
      <c r="U88" s="189"/>
      <c r="V88" s="216"/>
      <c r="W88" s="216"/>
      <c r="X88" s="216"/>
      <c r="Y88" s="216"/>
      <c r="Z88" s="216"/>
      <c r="AA88" s="216"/>
      <c r="AB88" s="216"/>
      <c r="AC88" s="216"/>
      <c r="AD88" s="216"/>
      <c r="AE88" s="216"/>
      <c r="AF88" s="189"/>
      <c r="AG88" s="189"/>
      <c r="AH88" s="142"/>
      <c r="AI88" s="142"/>
      <c r="AJ88" s="142"/>
      <c r="AK88" s="142"/>
      <c r="AL88" s="142"/>
      <c r="AM88" s="142"/>
      <c r="AN88" s="142"/>
      <c r="AO88" s="142"/>
      <c r="AP88" s="142"/>
      <c r="AQ88" s="142"/>
      <c r="AR88" s="142"/>
      <c r="AS88" s="142"/>
      <c r="AT88" s="142"/>
      <c r="AU88" s="142"/>
      <c r="AV88" s="189"/>
      <c r="AW88" s="189"/>
      <c r="AX88" s="189"/>
      <c r="AY88" s="189"/>
      <c r="AZ88" s="189"/>
    </row>
    <row r="89" spans="1:52">
      <c r="A89" s="189"/>
      <c r="B89" s="189"/>
      <c r="C89" s="189"/>
      <c r="D89" s="190"/>
      <c r="E89" s="189"/>
      <c r="F89" s="189"/>
      <c r="G89" s="189"/>
      <c r="H89" s="189"/>
      <c r="I89" s="189"/>
      <c r="J89" s="189"/>
      <c r="K89" s="189"/>
      <c r="L89" s="189"/>
      <c r="M89" s="189"/>
      <c r="N89" s="189"/>
      <c r="O89" s="189"/>
      <c r="P89" s="189"/>
      <c r="Q89" s="189"/>
      <c r="R89" s="189"/>
      <c r="S89" s="189"/>
      <c r="T89" s="189"/>
      <c r="U89" s="189"/>
      <c r="V89" s="216"/>
      <c r="W89" s="216"/>
      <c r="X89" s="216"/>
      <c r="Y89" s="216"/>
      <c r="Z89" s="216"/>
      <c r="AA89" s="216"/>
      <c r="AB89" s="216"/>
      <c r="AC89" s="216"/>
      <c r="AD89" s="216"/>
      <c r="AE89" s="216"/>
      <c r="AF89" s="189"/>
      <c r="AG89" s="189"/>
      <c r="AH89" s="142"/>
      <c r="AI89" s="142"/>
      <c r="AJ89" s="142"/>
      <c r="AK89" s="142"/>
      <c r="AL89" s="142"/>
      <c r="AM89" s="142"/>
      <c r="AN89" s="142"/>
      <c r="AO89" s="142"/>
      <c r="AP89" s="142"/>
      <c r="AQ89" s="142"/>
      <c r="AR89" s="142"/>
      <c r="AS89" s="142"/>
      <c r="AT89" s="142"/>
      <c r="AU89" s="142"/>
      <c r="AV89" s="189"/>
      <c r="AW89" s="189"/>
      <c r="AX89" s="189"/>
      <c r="AY89" s="189"/>
      <c r="AZ89" s="189"/>
    </row>
    <row r="90" spans="1:52">
      <c r="A90" s="189"/>
      <c r="B90" s="189"/>
      <c r="C90" s="189"/>
      <c r="D90" s="190"/>
      <c r="E90" s="189"/>
      <c r="F90" s="189"/>
      <c r="G90" s="189"/>
      <c r="H90" s="189"/>
      <c r="I90" s="189"/>
      <c r="J90" s="189"/>
      <c r="K90" s="189"/>
      <c r="L90" s="189"/>
      <c r="M90" s="189"/>
      <c r="N90" s="189"/>
      <c r="O90" s="189"/>
      <c r="P90" s="189"/>
      <c r="Q90" s="189"/>
      <c r="R90" s="189"/>
      <c r="S90" s="189"/>
      <c r="T90" s="189"/>
      <c r="U90" s="189"/>
      <c r="V90" s="216"/>
      <c r="W90" s="216"/>
      <c r="X90" s="216"/>
      <c r="Y90" s="216"/>
      <c r="Z90" s="216"/>
      <c r="AA90" s="216"/>
      <c r="AB90" s="216"/>
      <c r="AC90" s="216"/>
      <c r="AD90" s="216"/>
      <c r="AE90" s="216"/>
      <c r="AF90" s="189"/>
      <c r="AG90" s="189"/>
      <c r="AH90" s="142"/>
      <c r="AI90" s="142"/>
      <c r="AJ90" s="142"/>
      <c r="AK90" s="142"/>
      <c r="AL90" s="142"/>
      <c r="AM90" s="142"/>
      <c r="AN90" s="142"/>
      <c r="AO90" s="142"/>
      <c r="AP90" s="142"/>
      <c r="AQ90" s="142"/>
      <c r="AR90" s="142"/>
      <c r="AS90" s="142"/>
      <c r="AT90" s="142"/>
      <c r="AU90" s="142"/>
      <c r="AV90" s="189"/>
      <c r="AW90" s="189"/>
      <c r="AX90" s="189"/>
      <c r="AY90" s="189"/>
      <c r="AZ90" s="189"/>
    </row>
    <row r="91" spans="1:52">
      <c r="A91" s="189"/>
      <c r="B91" s="189"/>
      <c r="C91" s="189"/>
      <c r="D91" s="190"/>
      <c r="E91" s="189"/>
      <c r="F91" s="189"/>
      <c r="G91" s="189"/>
      <c r="H91" s="189"/>
      <c r="I91" s="189"/>
      <c r="J91" s="189"/>
      <c r="K91" s="189"/>
      <c r="L91" s="189"/>
      <c r="M91" s="189"/>
      <c r="N91" s="189"/>
      <c r="O91" s="189"/>
      <c r="P91" s="189"/>
      <c r="Q91" s="189"/>
      <c r="R91" s="189"/>
      <c r="S91" s="189"/>
      <c r="T91" s="189"/>
      <c r="U91" s="189"/>
      <c r="V91" s="216"/>
      <c r="W91" s="216"/>
      <c r="X91" s="216"/>
      <c r="Y91" s="216"/>
      <c r="Z91" s="216"/>
      <c r="AA91" s="216"/>
      <c r="AB91" s="216"/>
      <c r="AC91" s="216"/>
      <c r="AD91" s="216"/>
      <c r="AE91" s="216"/>
      <c r="AF91" s="189"/>
      <c r="AG91" s="189"/>
      <c r="AH91" s="142"/>
      <c r="AI91" s="142"/>
      <c r="AJ91" s="142"/>
      <c r="AK91" s="142"/>
      <c r="AL91" s="142"/>
      <c r="AM91" s="142"/>
      <c r="AN91" s="142"/>
      <c r="AO91" s="142"/>
      <c r="AP91" s="142"/>
      <c r="AQ91" s="142"/>
      <c r="AR91" s="142"/>
      <c r="AS91" s="142"/>
      <c r="AT91" s="142"/>
      <c r="AU91" s="142"/>
      <c r="AV91" s="189"/>
      <c r="AW91" s="189"/>
      <c r="AX91" s="189"/>
      <c r="AY91" s="189"/>
      <c r="AZ91" s="189"/>
    </row>
    <row r="92" spans="1:52">
      <c r="A92" s="189"/>
      <c r="B92" s="189"/>
      <c r="C92" s="189"/>
      <c r="D92" s="190"/>
      <c r="E92" s="189"/>
      <c r="F92" s="189"/>
      <c r="G92" s="189"/>
      <c r="H92" s="189"/>
      <c r="I92" s="189"/>
      <c r="J92" s="189"/>
      <c r="K92" s="189"/>
      <c r="L92" s="189"/>
      <c r="M92" s="189"/>
      <c r="N92" s="189"/>
      <c r="O92" s="189"/>
      <c r="P92" s="189"/>
      <c r="Q92" s="189"/>
      <c r="R92" s="189"/>
      <c r="S92" s="189"/>
      <c r="T92" s="189"/>
      <c r="U92" s="189"/>
      <c r="V92" s="216"/>
      <c r="W92" s="216"/>
      <c r="X92" s="216"/>
      <c r="Y92" s="216"/>
      <c r="Z92" s="216"/>
      <c r="AA92" s="216"/>
      <c r="AB92" s="216"/>
      <c r="AC92" s="216"/>
      <c r="AD92" s="216"/>
      <c r="AE92" s="216"/>
      <c r="AF92" s="189"/>
      <c r="AG92" s="189"/>
      <c r="AH92" s="142"/>
      <c r="AI92" s="142"/>
      <c r="AJ92" s="142"/>
      <c r="AK92" s="142"/>
      <c r="AL92" s="142"/>
      <c r="AM92" s="142"/>
      <c r="AN92" s="142"/>
      <c r="AO92" s="142"/>
      <c r="AP92" s="142"/>
      <c r="AQ92" s="142"/>
      <c r="AR92" s="142"/>
      <c r="AS92" s="142"/>
      <c r="AT92" s="142"/>
      <c r="AU92" s="142"/>
      <c r="AV92" s="189"/>
      <c r="AW92" s="189"/>
      <c r="AX92" s="189"/>
      <c r="AY92" s="189"/>
      <c r="AZ92" s="189"/>
    </row>
    <row r="93" spans="1:52">
      <c r="A93" s="189"/>
      <c r="B93" s="189"/>
      <c r="C93" s="189"/>
      <c r="D93" s="190"/>
      <c r="E93" s="189"/>
      <c r="F93" s="189"/>
      <c r="G93" s="189"/>
      <c r="H93" s="189"/>
      <c r="I93" s="189"/>
      <c r="J93" s="189"/>
      <c r="K93" s="189"/>
      <c r="L93" s="189"/>
      <c r="M93" s="189"/>
      <c r="N93" s="189"/>
      <c r="O93" s="189"/>
      <c r="P93" s="189"/>
      <c r="Q93" s="189"/>
      <c r="R93" s="189"/>
      <c r="S93" s="189"/>
      <c r="T93" s="189"/>
      <c r="U93" s="189"/>
      <c r="V93" s="216"/>
      <c r="W93" s="216"/>
      <c r="X93" s="216"/>
      <c r="Y93" s="216"/>
      <c r="Z93" s="216"/>
      <c r="AA93" s="216"/>
      <c r="AB93" s="216"/>
      <c r="AC93" s="216"/>
      <c r="AD93" s="216"/>
      <c r="AE93" s="216"/>
      <c r="AF93" s="189"/>
      <c r="AG93" s="189"/>
      <c r="AH93" s="142"/>
      <c r="AI93" s="142"/>
      <c r="AJ93" s="142"/>
      <c r="AK93" s="142"/>
      <c r="AL93" s="142"/>
      <c r="AM93" s="142"/>
      <c r="AN93" s="142"/>
      <c r="AO93" s="142"/>
      <c r="AP93" s="142"/>
      <c r="AQ93" s="142"/>
      <c r="AR93" s="142"/>
      <c r="AS93" s="142"/>
      <c r="AT93" s="142"/>
      <c r="AU93" s="142"/>
      <c r="AV93" s="189"/>
      <c r="AW93" s="189"/>
      <c r="AX93" s="189"/>
      <c r="AY93" s="189"/>
      <c r="AZ93" s="189"/>
    </row>
    <row r="94" spans="1:52">
      <c r="A94" s="189"/>
      <c r="B94" s="189"/>
      <c r="C94" s="189"/>
      <c r="D94" s="190"/>
      <c r="E94" s="189"/>
      <c r="F94" s="189"/>
      <c r="G94" s="189"/>
      <c r="H94" s="189"/>
      <c r="I94" s="189"/>
      <c r="J94" s="189"/>
      <c r="K94" s="189"/>
      <c r="L94" s="189"/>
      <c r="M94" s="189"/>
      <c r="N94" s="189"/>
      <c r="O94" s="189"/>
      <c r="P94" s="189"/>
      <c r="Q94" s="189"/>
      <c r="R94" s="189"/>
      <c r="S94" s="189"/>
      <c r="T94" s="189"/>
      <c r="U94" s="189"/>
      <c r="V94" s="216"/>
      <c r="W94" s="216"/>
      <c r="X94" s="216"/>
      <c r="Y94" s="216"/>
      <c r="Z94" s="216"/>
      <c r="AA94" s="216"/>
      <c r="AB94" s="216"/>
      <c r="AC94" s="216"/>
      <c r="AD94" s="216"/>
      <c r="AE94" s="216"/>
      <c r="AF94" s="189"/>
      <c r="AG94" s="189"/>
      <c r="AH94" s="142"/>
      <c r="AI94" s="142"/>
      <c r="AJ94" s="142"/>
      <c r="AK94" s="142"/>
      <c r="AL94" s="142"/>
      <c r="AM94" s="142"/>
      <c r="AN94" s="142"/>
      <c r="AO94" s="142"/>
      <c r="AP94" s="142"/>
      <c r="AQ94" s="142"/>
      <c r="AR94" s="142"/>
      <c r="AS94" s="142"/>
      <c r="AT94" s="142"/>
      <c r="AU94" s="142"/>
      <c r="AV94" s="189"/>
      <c r="AW94" s="189"/>
      <c r="AX94" s="189"/>
      <c r="AY94" s="189"/>
      <c r="AZ94" s="189"/>
    </row>
    <row r="95" spans="1:52">
      <c r="A95" s="189"/>
      <c r="B95" s="189"/>
      <c r="C95" s="189"/>
      <c r="D95" s="190"/>
      <c r="E95" s="189"/>
      <c r="F95" s="189"/>
      <c r="G95" s="189"/>
      <c r="H95" s="189"/>
      <c r="I95" s="189"/>
      <c r="J95" s="189"/>
      <c r="K95" s="189"/>
      <c r="L95" s="189"/>
      <c r="M95" s="189"/>
      <c r="N95" s="189"/>
      <c r="O95" s="189"/>
      <c r="P95" s="189"/>
      <c r="Q95" s="189"/>
      <c r="R95" s="189"/>
      <c r="S95" s="189"/>
      <c r="T95" s="189"/>
      <c r="U95" s="189"/>
      <c r="V95" s="216"/>
      <c r="W95" s="216"/>
      <c r="X95" s="216"/>
      <c r="Y95" s="216"/>
      <c r="Z95" s="216"/>
      <c r="AA95" s="216"/>
      <c r="AB95" s="216"/>
      <c r="AC95" s="216"/>
      <c r="AD95" s="216"/>
      <c r="AE95" s="216"/>
      <c r="AF95" s="189"/>
      <c r="AG95" s="189"/>
      <c r="AH95" s="142"/>
      <c r="AI95" s="142"/>
      <c r="AJ95" s="142"/>
      <c r="AK95" s="142"/>
      <c r="AL95" s="142"/>
      <c r="AM95" s="142"/>
      <c r="AN95" s="142"/>
      <c r="AO95" s="142"/>
      <c r="AP95" s="142"/>
      <c r="AQ95" s="142"/>
      <c r="AR95" s="142"/>
      <c r="AS95" s="142"/>
      <c r="AT95" s="142"/>
      <c r="AU95" s="142"/>
      <c r="AV95" s="189"/>
      <c r="AW95" s="189"/>
      <c r="AX95" s="189"/>
      <c r="AY95" s="189"/>
      <c r="AZ95" s="189"/>
    </row>
    <row r="96" spans="1:52">
      <c r="A96" s="189"/>
      <c r="B96" s="189"/>
      <c r="C96" s="189"/>
      <c r="D96" s="190"/>
      <c r="E96" s="189"/>
      <c r="F96" s="189"/>
      <c r="G96" s="189"/>
      <c r="H96" s="189"/>
      <c r="I96" s="189"/>
      <c r="J96" s="189"/>
      <c r="K96" s="189"/>
      <c r="L96" s="189"/>
      <c r="M96" s="189"/>
      <c r="N96" s="189"/>
      <c r="O96" s="189"/>
      <c r="P96" s="189"/>
      <c r="Q96" s="189"/>
      <c r="R96" s="189"/>
      <c r="S96" s="189"/>
      <c r="T96" s="189"/>
      <c r="U96" s="189"/>
      <c r="V96" s="216"/>
      <c r="W96" s="216"/>
      <c r="X96" s="216"/>
      <c r="Y96" s="216"/>
      <c r="Z96" s="216"/>
      <c r="AA96" s="216"/>
      <c r="AB96" s="216"/>
      <c r="AC96" s="216"/>
      <c r="AD96" s="216"/>
      <c r="AE96" s="216"/>
      <c r="AF96" s="189"/>
      <c r="AG96" s="189"/>
      <c r="AH96" s="142"/>
      <c r="AI96" s="142"/>
      <c r="AJ96" s="142"/>
      <c r="AK96" s="142"/>
      <c r="AL96" s="142"/>
      <c r="AM96" s="142"/>
      <c r="AN96" s="142"/>
      <c r="AO96" s="142"/>
      <c r="AP96" s="142"/>
      <c r="AQ96" s="142"/>
      <c r="AR96" s="142"/>
      <c r="AS96" s="142"/>
      <c r="AT96" s="142"/>
      <c r="AU96" s="142"/>
      <c r="AV96" s="189"/>
      <c r="AW96" s="189"/>
      <c r="AX96" s="189"/>
      <c r="AY96" s="189"/>
      <c r="AZ96" s="189"/>
    </row>
    <row r="97" spans="1:52">
      <c r="A97" s="189"/>
      <c r="B97" s="189"/>
      <c r="C97" s="189"/>
      <c r="D97" s="190"/>
      <c r="E97" s="189"/>
      <c r="F97" s="189"/>
      <c r="G97" s="189"/>
      <c r="H97" s="189"/>
      <c r="I97" s="189"/>
      <c r="J97" s="189"/>
      <c r="K97" s="189"/>
      <c r="L97" s="189"/>
      <c r="M97" s="189"/>
      <c r="N97" s="189"/>
      <c r="O97" s="189"/>
      <c r="P97" s="189"/>
      <c r="Q97" s="189"/>
      <c r="R97" s="189"/>
      <c r="S97" s="189"/>
      <c r="T97" s="189"/>
      <c r="U97" s="189"/>
      <c r="V97" s="216"/>
      <c r="W97" s="216"/>
      <c r="X97" s="216"/>
      <c r="Y97" s="216"/>
      <c r="Z97" s="216"/>
      <c r="AA97" s="216"/>
      <c r="AB97" s="216"/>
      <c r="AC97" s="216"/>
      <c r="AD97" s="216"/>
      <c r="AE97" s="216"/>
      <c r="AF97" s="189"/>
      <c r="AG97" s="189"/>
      <c r="AH97" s="142"/>
      <c r="AI97" s="142"/>
      <c r="AJ97" s="142"/>
      <c r="AK97" s="142"/>
      <c r="AL97" s="142"/>
      <c r="AM97" s="142"/>
      <c r="AN97" s="142"/>
      <c r="AO97" s="142"/>
      <c r="AP97" s="142"/>
      <c r="AQ97" s="142"/>
      <c r="AR97" s="142"/>
      <c r="AS97" s="142"/>
      <c r="AT97" s="142"/>
      <c r="AU97" s="142"/>
      <c r="AV97" s="189"/>
      <c r="AW97" s="189"/>
      <c r="AX97" s="189"/>
      <c r="AY97" s="189"/>
      <c r="AZ97" s="189"/>
    </row>
    <row r="98" spans="1:52">
      <c r="A98" s="189"/>
      <c r="B98" s="189"/>
      <c r="C98" s="189"/>
      <c r="D98" s="190"/>
      <c r="E98" s="189"/>
      <c r="F98" s="189"/>
      <c r="G98" s="189"/>
      <c r="H98" s="189"/>
      <c r="I98" s="189"/>
      <c r="J98" s="189"/>
      <c r="K98" s="189"/>
      <c r="L98" s="189"/>
      <c r="M98" s="189"/>
      <c r="N98" s="189"/>
      <c r="O98" s="189"/>
      <c r="P98" s="189"/>
      <c r="Q98" s="189"/>
      <c r="R98" s="189"/>
      <c r="S98" s="189"/>
      <c r="T98" s="189"/>
      <c r="U98" s="189"/>
      <c r="V98" s="216"/>
      <c r="W98" s="216"/>
      <c r="X98" s="216"/>
      <c r="Y98" s="216"/>
      <c r="Z98" s="216"/>
      <c r="AA98" s="216"/>
      <c r="AB98" s="216"/>
      <c r="AC98" s="216"/>
      <c r="AD98" s="216"/>
      <c r="AE98" s="216"/>
      <c r="AF98" s="189"/>
      <c r="AG98" s="189"/>
      <c r="AH98" s="142"/>
      <c r="AI98" s="142"/>
      <c r="AJ98" s="142"/>
      <c r="AK98" s="142"/>
      <c r="AL98" s="142"/>
      <c r="AM98" s="142"/>
      <c r="AN98" s="142"/>
      <c r="AO98" s="142"/>
      <c r="AP98" s="142"/>
      <c r="AQ98" s="142"/>
      <c r="AR98" s="142"/>
      <c r="AS98" s="142"/>
      <c r="AT98" s="142"/>
      <c r="AU98" s="142"/>
      <c r="AV98" s="189"/>
      <c r="AW98" s="189"/>
      <c r="AX98" s="189"/>
      <c r="AY98" s="189"/>
      <c r="AZ98" s="189"/>
    </row>
    <row r="99" spans="1:52">
      <c r="A99" s="189"/>
      <c r="B99" s="189"/>
      <c r="C99" s="189"/>
      <c r="D99" s="190"/>
      <c r="E99" s="189"/>
      <c r="F99" s="189"/>
      <c r="G99" s="189"/>
      <c r="H99" s="189"/>
      <c r="I99" s="189"/>
      <c r="J99" s="189"/>
      <c r="K99" s="189"/>
      <c r="L99" s="189"/>
      <c r="M99" s="189"/>
      <c r="N99" s="189"/>
      <c r="O99" s="189"/>
      <c r="P99" s="189"/>
      <c r="Q99" s="189"/>
      <c r="R99" s="189"/>
      <c r="S99" s="189"/>
      <c r="T99" s="189"/>
      <c r="U99" s="189"/>
      <c r="V99" s="216"/>
      <c r="W99" s="216"/>
      <c r="X99" s="216"/>
      <c r="Y99" s="216"/>
      <c r="Z99" s="216"/>
      <c r="AA99" s="216"/>
      <c r="AB99" s="216"/>
      <c r="AC99" s="216"/>
      <c r="AD99" s="216"/>
      <c r="AE99" s="216"/>
      <c r="AF99" s="189"/>
      <c r="AG99" s="189"/>
      <c r="AH99" s="142"/>
      <c r="AI99" s="142"/>
      <c r="AJ99" s="142"/>
      <c r="AK99" s="142"/>
      <c r="AL99" s="142"/>
      <c r="AM99" s="142"/>
      <c r="AN99" s="142"/>
      <c r="AO99" s="142"/>
      <c r="AP99" s="142"/>
      <c r="AQ99" s="142"/>
      <c r="AR99" s="142"/>
      <c r="AS99" s="142"/>
      <c r="AT99" s="142"/>
      <c r="AU99" s="142"/>
      <c r="AV99" s="189"/>
      <c r="AW99" s="189"/>
      <c r="AX99" s="189"/>
      <c r="AY99" s="189"/>
      <c r="AZ99" s="189"/>
    </row>
    <row r="100" spans="1:52">
      <c r="A100" s="189"/>
      <c r="B100" s="189"/>
      <c r="C100" s="189"/>
      <c r="D100" s="190"/>
      <c r="E100" s="189"/>
      <c r="F100" s="189"/>
      <c r="G100" s="189"/>
      <c r="H100" s="189"/>
      <c r="I100" s="189"/>
      <c r="J100" s="189"/>
      <c r="K100" s="189"/>
      <c r="L100" s="189"/>
      <c r="M100" s="189"/>
      <c r="N100" s="189"/>
      <c r="O100" s="189"/>
      <c r="P100" s="189"/>
      <c r="Q100" s="189"/>
      <c r="R100" s="189"/>
      <c r="S100" s="189"/>
      <c r="T100" s="189"/>
      <c r="U100" s="189"/>
      <c r="V100" s="216"/>
      <c r="W100" s="216"/>
      <c r="X100" s="216"/>
      <c r="Y100" s="216"/>
      <c r="Z100" s="216"/>
      <c r="AA100" s="216"/>
      <c r="AB100" s="216"/>
      <c r="AC100" s="216"/>
      <c r="AD100" s="216"/>
      <c r="AE100" s="216"/>
      <c r="AF100" s="189"/>
      <c r="AG100" s="189"/>
      <c r="AH100" s="142"/>
      <c r="AI100" s="142"/>
      <c r="AJ100" s="142"/>
      <c r="AK100" s="142"/>
      <c r="AL100" s="142"/>
      <c r="AM100" s="142"/>
      <c r="AN100" s="142"/>
      <c r="AO100" s="142"/>
      <c r="AP100" s="142"/>
      <c r="AQ100" s="142"/>
      <c r="AR100" s="142"/>
      <c r="AS100" s="142"/>
      <c r="AT100" s="142"/>
      <c r="AU100" s="142"/>
      <c r="AV100" s="189"/>
      <c r="AW100" s="189"/>
      <c r="AX100" s="189"/>
      <c r="AY100" s="189"/>
      <c r="AZ100" s="189"/>
    </row>
    <row r="101" spans="1:52">
      <c r="A101" s="189"/>
      <c r="B101" s="189"/>
      <c r="C101" s="189"/>
      <c r="D101" s="190"/>
      <c r="E101" s="189"/>
      <c r="F101" s="189"/>
      <c r="G101" s="189"/>
      <c r="H101" s="189"/>
      <c r="I101" s="189"/>
      <c r="J101" s="189"/>
      <c r="K101" s="189"/>
      <c r="L101" s="189"/>
      <c r="M101" s="189"/>
      <c r="N101" s="189"/>
      <c r="O101" s="189"/>
      <c r="P101" s="189"/>
      <c r="Q101" s="189"/>
      <c r="R101" s="189"/>
      <c r="S101" s="189"/>
      <c r="T101" s="189"/>
      <c r="U101" s="189"/>
      <c r="V101" s="216"/>
      <c r="W101" s="216"/>
      <c r="X101" s="216"/>
      <c r="Y101" s="216"/>
      <c r="Z101" s="216"/>
      <c r="AA101" s="216"/>
      <c r="AB101" s="216"/>
      <c r="AC101" s="216"/>
      <c r="AD101" s="216"/>
      <c r="AE101" s="216"/>
      <c r="AF101" s="189"/>
      <c r="AG101" s="189"/>
      <c r="AH101" s="142"/>
      <c r="AI101" s="142"/>
      <c r="AJ101" s="142"/>
      <c r="AK101" s="142"/>
      <c r="AL101" s="142"/>
      <c r="AM101" s="142"/>
      <c r="AN101" s="142"/>
      <c r="AO101" s="142"/>
      <c r="AP101" s="142"/>
      <c r="AQ101" s="142"/>
      <c r="AR101" s="142"/>
      <c r="AS101" s="142"/>
      <c r="AT101" s="142"/>
      <c r="AU101" s="142"/>
      <c r="AV101" s="189"/>
      <c r="AW101" s="189"/>
      <c r="AX101" s="189"/>
      <c r="AY101" s="189"/>
      <c r="AZ101" s="189"/>
    </row>
    <row r="102" spans="1:52">
      <c r="A102" s="189"/>
      <c r="B102" s="189"/>
      <c r="C102" s="189"/>
      <c r="D102" s="190"/>
      <c r="E102" s="189"/>
      <c r="F102" s="189"/>
      <c r="G102" s="189"/>
      <c r="H102" s="189"/>
      <c r="I102" s="189"/>
      <c r="J102" s="189"/>
      <c r="K102" s="189"/>
      <c r="L102" s="189"/>
      <c r="M102" s="189"/>
      <c r="N102" s="189"/>
      <c r="O102" s="189"/>
      <c r="P102" s="189"/>
      <c r="Q102" s="189"/>
      <c r="R102" s="189"/>
      <c r="S102" s="189"/>
      <c r="T102" s="189"/>
      <c r="U102" s="189"/>
      <c r="V102" s="216"/>
      <c r="W102" s="216"/>
      <c r="X102" s="216"/>
      <c r="Y102" s="216"/>
      <c r="Z102" s="216"/>
      <c r="AA102" s="216"/>
      <c r="AB102" s="216"/>
      <c r="AC102" s="216"/>
      <c r="AD102" s="216"/>
      <c r="AE102" s="216"/>
      <c r="AF102" s="189"/>
      <c r="AG102" s="189"/>
      <c r="AH102" s="142"/>
      <c r="AI102" s="142"/>
      <c r="AJ102" s="142"/>
      <c r="AK102" s="142"/>
      <c r="AL102" s="142"/>
      <c r="AM102" s="142"/>
      <c r="AN102" s="142"/>
      <c r="AO102" s="142"/>
      <c r="AP102" s="142"/>
      <c r="AQ102" s="142"/>
      <c r="AR102" s="142"/>
      <c r="AS102" s="142"/>
      <c r="AT102" s="142"/>
      <c r="AU102" s="142"/>
      <c r="AV102" s="189"/>
      <c r="AW102" s="189"/>
      <c r="AX102" s="189"/>
      <c r="AY102" s="189"/>
      <c r="AZ102" s="189"/>
    </row>
    <row r="103" spans="1:52">
      <c r="A103" s="189"/>
      <c r="B103" s="189"/>
      <c r="C103" s="189"/>
      <c r="D103" s="190"/>
      <c r="E103" s="189"/>
      <c r="F103" s="189"/>
      <c r="G103" s="189"/>
      <c r="H103" s="189"/>
      <c r="I103" s="189"/>
      <c r="J103" s="189"/>
      <c r="K103" s="189"/>
      <c r="L103" s="189"/>
      <c r="M103" s="189"/>
      <c r="N103" s="189"/>
      <c r="O103" s="189"/>
      <c r="P103" s="189"/>
      <c r="Q103" s="189"/>
      <c r="R103" s="189"/>
      <c r="S103" s="189"/>
      <c r="T103" s="189"/>
      <c r="U103" s="189"/>
      <c r="V103" s="216"/>
      <c r="W103" s="216"/>
      <c r="X103" s="216"/>
      <c r="Y103" s="216"/>
      <c r="Z103" s="216"/>
      <c r="AA103" s="216"/>
      <c r="AB103" s="216"/>
      <c r="AC103" s="216"/>
      <c r="AD103" s="216"/>
      <c r="AE103" s="216"/>
      <c r="AF103" s="189"/>
      <c r="AG103" s="189"/>
      <c r="AH103" s="142"/>
      <c r="AI103" s="142"/>
      <c r="AJ103" s="142"/>
      <c r="AK103" s="142"/>
      <c r="AL103" s="142"/>
      <c r="AM103" s="142"/>
      <c r="AN103" s="142"/>
      <c r="AO103" s="142"/>
      <c r="AP103" s="142"/>
      <c r="AQ103" s="142"/>
      <c r="AR103" s="142"/>
      <c r="AS103" s="142"/>
      <c r="AT103" s="142"/>
      <c r="AU103" s="142"/>
      <c r="AV103" s="189"/>
      <c r="AW103" s="189"/>
      <c r="AX103" s="189"/>
      <c r="AY103" s="189"/>
      <c r="AZ103" s="189"/>
    </row>
    <row r="104" spans="1:52">
      <c r="A104" s="189"/>
      <c r="B104" s="189"/>
      <c r="C104" s="189"/>
      <c r="D104" s="190"/>
      <c r="E104" s="189"/>
      <c r="F104" s="189"/>
      <c r="G104" s="189"/>
      <c r="H104" s="189"/>
      <c r="I104" s="189"/>
      <c r="J104" s="189"/>
      <c r="K104" s="189"/>
      <c r="L104" s="189"/>
      <c r="M104" s="189"/>
      <c r="N104" s="189"/>
      <c r="O104" s="189"/>
      <c r="P104" s="189"/>
      <c r="Q104" s="189"/>
      <c r="R104" s="189"/>
      <c r="S104" s="189"/>
      <c r="T104" s="189"/>
      <c r="U104" s="189"/>
      <c r="V104" s="216"/>
      <c r="W104" s="216"/>
      <c r="X104" s="216"/>
      <c r="Y104" s="216"/>
      <c r="Z104" s="216"/>
      <c r="AA104" s="216"/>
      <c r="AB104" s="216"/>
      <c r="AC104" s="216"/>
      <c r="AD104" s="216"/>
      <c r="AE104" s="216"/>
      <c r="AF104" s="189"/>
      <c r="AG104" s="189"/>
      <c r="AH104" s="142"/>
      <c r="AI104" s="142"/>
      <c r="AJ104" s="142"/>
      <c r="AK104" s="142"/>
      <c r="AL104" s="142"/>
      <c r="AM104" s="142"/>
      <c r="AN104" s="142"/>
      <c r="AO104" s="142"/>
      <c r="AP104" s="142"/>
      <c r="AQ104" s="142"/>
      <c r="AR104" s="142"/>
      <c r="AS104" s="142"/>
      <c r="AT104" s="142"/>
      <c r="AU104" s="142"/>
      <c r="AV104" s="189"/>
      <c r="AW104" s="189"/>
      <c r="AX104" s="189"/>
      <c r="AY104" s="189"/>
      <c r="AZ104" s="189"/>
    </row>
    <row r="105" spans="1:52">
      <c r="A105" s="189"/>
      <c r="B105" s="189"/>
      <c r="C105" s="189"/>
      <c r="D105" s="190"/>
      <c r="E105" s="189"/>
      <c r="F105" s="189"/>
      <c r="G105" s="189"/>
      <c r="H105" s="189"/>
      <c r="I105" s="189"/>
      <c r="J105" s="189"/>
      <c r="K105" s="189"/>
      <c r="L105" s="189"/>
      <c r="M105" s="189"/>
      <c r="N105" s="189"/>
      <c r="O105" s="189"/>
      <c r="P105" s="189"/>
      <c r="Q105" s="189"/>
      <c r="R105" s="189"/>
      <c r="S105" s="189"/>
      <c r="T105" s="189"/>
      <c r="U105" s="189"/>
      <c r="V105" s="216"/>
      <c r="W105" s="216"/>
      <c r="X105" s="216"/>
      <c r="Y105" s="216"/>
      <c r="Z105" s="216"/>
      <c r="AA105" s="216"/>
      <c r="AB105" s="216"/>
      <c r="AC105" s="216"/>
      <c r="AD105" s="216"/>
      <c r="AE105" s="216"/>
      <c r="AF105" s="189"/>
      <c r="AG105" s="189"/>
      <c r="AH105" s="142"/>
      <c r="AI105" s="142"/>
      <c r="AJ105" s="142"/>
      <c r="AK105" s="142"/>
      <c r="AL105" s="142"/>
      <c r="AM105" s="142"/>
      <c r="AN105" s="142"/>
      <c r="AO105" s="142"/>
      <c r="AP105" s="142"/>
      <c r="AQ105" s="142"/>
      <c r="AR105" s="142"/>
      <c r="AS105" s="142"/>
      <c r="AT105" s="142"/>
      <c r="AU105" s="142"/>
      <c r="AV105" s="189"/>
      <c r="AW105" s="189"/>
      <c r="AX105" s="189"/>
      <c r="AY105" s="189"/>
      <c r="AZ105" s="189"/>
    </row>
    <row r="106" spans="1:52">
      <c r="A106" s="189"/>
      <c r="B106" s="189"/>
      <c r="C106" s="189"/>
      <c r="D106" s="190"/>
      <c r="E106" s="189"/>
      <c r="F106" s="189"/>
      <c r="G106" s="189"/>
      <c r="H106" s="189"/>
      <c r="I106" s="189"/>
      <c r="J106" s="189"/>
      <c r="K106" s="189"/>
      <c r="L106" s="189"/>
      <c r="M106" s="189"/>
      <c r="N106" s="189"/>
      <c r="O106" s="189"/>
      <c r="P106" s="189"/>
      <c r="Q106" s="189"/>
      <c r="R106" s="189"/>
      <c r="S106" s="189"/>
      <c r="T106" s="189"/>
      <c r="U106" s="189"/>
      <c r="V106" s="216"/>
      <c r="W106" s="216"/>
      <c r="X106" s="216"/>
      <c r="Y106" s="216"/>
      <c r="Z106" s="216"/>
      <c r="AA106" s="216"/>
      <c r="AB106" s="216"/>
      <c r="AC106" s="216"/>
      <c r="AD106" s="216"/>
      <c r="AE106" s="216"/>
      <c r="AF106" s="189"/>
      <c r="AG106" s="189"/>
      <c r="AH106" s="142"/>
      <c r="AI106" s="142"/>
      <c r="AJ106" s="142"/>
      <c r="AK106" s="142"/>
      <c r="AL106" s="142"/>
      <c r="AM106" s="142"/>
      <c r="AN106" s="142"/>
      <c r="AO106" s="142"/>
      <c r="AP106" s="142"/>
      <c r="AQ106" s="142"/>
      <c r="AR106" s="142"/>
      <c r="AS106" s="142"/>
      <c r="AT106" s="142"/>
      <c r="AU106" s="142"/>
      <c r="AV106" s="189"/>
      <c r="AW106" s="189"/>
      <c r="AX106" s="189"/>
      <c r="AY106" s="189"/>
      <c r="AZ106" s="189"/>
    </row>
    <row r="107" spans="1:52">
      <c r="A107" s="189"/>
      <c r="B107" s="189"/>
      <c r="C107" s="189"/>
      <c r="D107" s="190"/>
      <c r="E107" s="189"/>
      <c r="F107" s="189"/>
      <c r="G107" s="189"/>
      <c r="H107" s="189"/>
      <c r="I107" s="189"/>
      <c r="J107" s="189"/>
      <c r="K107" s="189"/>
      <c r="L107" s="189"/>
      <c r="M107" s="189"/>
      <c r="N107" s="189"/>
      <c r="O107" s="189"/>
      <c r="P107" s="189"/>
      <c r="Q107" s="189"/>
      <c r="R107" s="189"/>
      <c r="S107" s="189"/>
      <c r="T107" s="189"/>
      <c r="U107" s="189"/>
      <c r="V107" s="216"/>
      <c r="W107" s="216"/>
      <c r="X107" s="216"/>
      <c r="Y107" s="216"/>
      <c r="Z107" s="216"/>
      <c r="AA107" s="216"/>
      <c r="AB107" s="216"/>
      <c r="AC107" s="216"/>
      <c r="AD107" s="216"/>
      <c r="AE107" s="216"/>
      <c r="AF107" s="189"/>
      <c r="AG107" s="189"/>
      <c r="AH107" s="142"/>
      <c r="AI107" s="142"/>
      <c r="AJ107" s="142"/>
      <c r="AK107" s="142"/>
      <c r="AL107" s="142"/>
      <c r="AM107" s="142"/>
      <c r="AN107" s="142"/>
      <c r="AO107" s="142"/>
      <c r="AP107" s="142"/>
      <c r="AQ107" s="142"/>
      <c r="AR107" s="142"/>
      <c r="AS107" s="142"/>
      <c r="AT107" s="142"/>
      <c r="AU107" s="142"/>
      <c r="AV107" s="189"/>
      <c r="AW107" s="189"/>
      <c r="AX107" s="189"/>
      <c r="AY107" s="189"/>
      <c r="AZ107" s="189"/>
    </row>
    <row r="108" spans="1:52">
      <c r="A108" s="189"/>
      <c r="B108" s="189"/>
      <c r="C108" s="189"/>
      <c r="D108" s="190"/>
      <c r="E108" s="189"/>
      <c r="F108" s="189"/>
      <c r="G108" s="189"/>
      <c r="H108" s="189"/>
      <c r="I108" s="189"/>
      <c r="J108" s="189"/>
      <c r="K108" s="189"/>
      <c r="L108" s="189"/>
      <c r="M108" s="189"/>
      <c r="N108" s="189"/>
      <c r="O108" s="189"/>
      <c r="P108" s="189"/>
      <c r="Q108" s="189"/>
      <c r="R108" s="189"/>
      <c r="S108" s="189"/>
      <c r="T108" s="189"/>
      <c r="U108" s="189"/>
      <c r="V108" s="216"/>
      <c r="W108" s="216"/>
      <c r="X108" s="216"/>
      <c r="Y108" s="216"/>
      <c r="Z108" s="216"/>
      <c r="AA108" s="216"/>
      <c r="AB108" s="216"/>
      <c r="AC108" s="216"/>
      <c r="AD108" s="216"/>
      <c r="AE108" s="216"/>
      <c r="AF108" s="189"/>
      <c r="AG108" s="189"/>
      <c r="AH108" s="142"/>
      <c r="AI108" s="142"/>
      <c r="AJ108" s="142"/>
      <c r="AK108" s="142"/>
      <c r="AL108" s="142"/>
      <c r="AM108" s="142"/>
      <c r="AN108" s="142"/>
      <c r="AO108" s="142"/>
      <c r="AP108" s="142"/>
      <c r="AQ108" s="142"/>
      <c r="AR108" s="142"/>
      <c r="AS108" s="142"/>
      <c r="AT108" s="142"/>
      <c r="AU108" s="142"/>
      <c r="AV108" s="189"/>
      <c r="AW108" s="189"/>
      <c r="AX108" s="189"/>
      <c r="AY108" s="189"/>
      <c r="AZ108" s="189"/>
    </row>
    <row r="109" spans="1:52">
      <c r="A109" s="189"/>
      <c r="B109" s="189"/>
      <c r="C109" s="189"/>
      <c r="D109" s="190"/>
      <c r="E109" s="189"/>
      <c r="F109" s="189"/>
      <c r="G109" s="189"/>
      <c r="H109" s="189"/>
      <c r="I109" s="189"/>
      <c r="J109" s="189"/>
      <c r="K109" s="189"/>
      <c r="L109" s="189"/>
      <c r="M109" s="189"/>
      <c r="N109" s="189"/>
      <c r="O109" s="189"/>
      <c r="P109" s="189"/>
      <c r="Q109" s="189"/>
      <c r="R109" s="189"/>
      <c r="S109" s="189"/>
      <c r="T109" s="189"/>
      <c r="U109" s="189"/>
      <c r="V109" s="216"/>
      <c r="W109" s="216"/>
      <c r="X109" s="216"/>
      <c r="Y109" s="216"/>
      <c r="Z109" s="216"/>
      <c r="AA109" s="216"/>
      <c r="AB109" s="216"/>
      <c r="AC109" s="216"/>
      <c r="AD109" s="216"/>
      <c r="AE109" s="216"/>
      <c r="AF109" s="189"/>
      <c r="AG109" s="189"/>
      <c r="AH109" s="142"/>
      <c r="AI109" s="142"/>
      <c r="AJ109" s="142"/>
      <c r="AK109" s="142"/>
      <c r="AL109" s="142"/>
      <c r="AM109" s="142"/>
      <c r="AN109" s="142"/>
      <c r="AO109" s="142"/>
      <c r="AP109" s="142"/>
      <c r="AQ109" s="142"/>
      <c r="AR109" s="142"/>
      <c r="AS109" s="142"/>
      <c r="AT109" s="142"/>
      <c r="AU109" s="142"/>
      <c r="AV109" s="189"/>
      <c r="AW109" s="189"/>
      <c r="AX109" s="189"/>
      <c r="AY109" s="189"/>
      <c r="AZ109" s="189"/>
    </row>
    <row r="110" spans="1:52">
      <c r="A110" s="189"/>
      <c r="B110" s="189"/>
      <c r="C110" s="189"/>
      <c r="D110" s="190"/>
      <c r="E110" s="189"/>
      <c r="F110" s="189"/>
      <c r="G110" s="189"/>
      <c r="H110" s="189"/>
      <c r="I110" s="189"/>
      <c r="J110" s="189"/>
      <c r="K110" s="189"/>
      <c r="L110" s="189"/>
      <c r="M110" s="189"/>
      <c r="N110" s="189"/>
      <c r="O110" s="189"/>
      <c r="P110" s="189"/>
      <c r="Q110" s="189"/>
      <c r="R110" s="189"/>
      <c r="S110" s="189"/>
      <c r="T110" s="189"/>
      <c r="U110" s="189"/>
      <c r="V110" s="216"/>
      <c r="W110" s="216"/>
      <c r="X110" s="216"/>
      <c r="Y110" s="216"/>
      <c r="Z110" s="216"/>
      <c r="AA110" s="216"/>
      <c r="AB110" s="216"/>
      <c r="AC110" s="216"/>
      <c r="AD110" s="216"/>
      <c r="AE110" s="216"/>
      <c r="AF110" s="189"/>
      <c r="AG110" s="189"/>
      <c r="AH110" s="142"/>
      <c r="AI110" s="142"/>
      <c r="AJ110" s="142"/>
      <c r="AK110" s="142"/>
      <c r="AL110" s="142"/>
      <c r="AM110" s="142"/>
      <c r="AN110" s="142"/>
      <c r="AO110" s="142"/>
      <c r="AP110" s="142"/>
      <c r="AQ110" s="142"/>
      <c r="AR110" s="142"/>
      <c r="AS110" s="142"/>
      <c r="AT110" s="142"/>
      <c r="AU110" s="142"/>
      <c r="AV110" s="189"/>
      <c r="AW110" s="189"/>
      <c r="AX110" s="189"/>
      <c r="AY110" s="189"/>
      <c r="AZ110" s="189"/>
    </row>
    <row r="111" spans="1:52">
      <c r="A111" s="189"/>
      <c r="B111" s="189"/>
      <c r="C111" s="189"/>
      <c r="D111" s="190"/>
      <c r="E111" s="189"/>
      <c r="F111" s="189"/>
      <c r="G111" s="189"/>
      <c r="H111" s="189"/>
      <c r="I111" s="189"/>
      <c r="J111" s="189"/>
      <c r="K111" s="189"/>
      <c r="L111" s="189"/>
      <c r="M111" s="189"/>
      <c r="N111" s="189"/>
      <c r="O111" s="189"/>
      <c r="P111" s="189"/>
      <c r="Q111" s="189"/>
      <c r="R111" s="189"/>
      <c r="S111" s="189"/>
      <c r="T111" s="189"/>
      <c r="U111" s="189"/>
      <c r="V111" s="216"/>
      <c r="W111" s="216"/>
      <c r="X111" s="216"/>
      <c r="Y111" s="216"/>
      <c r="Z111" s="216"/>
      <c r="AA111" s="216"/>
      <c r="AB111" s="216"/>
      <c r="AC111" s="216"/>
      <c r="AD111" s="216"/>
      <c r="AE111" s="216"/>
      <c r="AF111" s="189"/>
      <c r="AG111" s="189"/>
      <c r="AH111" s="142"/>
      <c r="AI111" s="142"/>
      <c r="AJ111" s="142"/>
      <c r="AK111" s="142"/>
      <c r="AL111" s="142"/>
      <c r="AM111" s="142"/>
      <c r="AN111" s="142"/>
      <c r="AO111" s="142"/>
      <c r="AP111" s="142"/>
      <c r="AQ111" s="142"/>
      <c r="AR111" s="142"/>
      <c r="AS111" s="142"/>
      <c r="AT111" s="142"/>
      <c r="AU111" s="142"/>
      <c r="AV111" s="189"/>
      <c r="AW111" s="189"/>
      <c r="AX111" s="189"/>
      <c r="AY111" s="189"/>
      <c r="AZ111" s="189"/>
    </row>
    <row r="112" spans="1:52">
      <c r="A112" s="189"/>
      <c r="B112" s="189"/>
      <c r="C112" s="189"/>
      <c r="D112" s="190"/>
      <c r="E112" s="189"/>
      <c r="F112" s="189"/>
      <c r="G112" s="189"/>
      <c r="H112" s="189"/>
      <c r="I112" s="189"/>
      <c r="J112" s="189"/>
      <c r="K112" s="189"/>
      <c r="L112" s="189"/>
      <c r="M112" s="189"/>
      <c r="N112" s="189"/>
      <c r="O112" s="189"/>
      <c r="P112" s="189"/>
      <c r="Q112" s="189"/>
      <c r="R112" s="189"/>
      <c r="S112" s="189"/>
      <c r="T112" s="189"/>
      <c r="U112" s="189"/>
      <c r="V112" s="216"/>
      <c r="W112" s="216"/>
      <c r="X112" s="216"/>
      <c r="Y112" s="216"/>
      <c r="Z112" s="216"/>
      <c r="AA112" s="216"/>
      <c r="AB112" s="216"/>
      <c r="AC112" s="216"/>
      <c r="AD112" s="216"/>
      <c r="AE112" s="216"/>
      <c r="AF112" s="189"/>
      <c r="AG112" s="189"/>
      <c r="AH112" s="142"/>
      <c r="AI112" s="142"/>
      <c r="AJ112" s="142"/>
      <c r="AK112" s="142"/>
      <c r="AL112" s="142"/>
      <c r="AM112" s="142"/>
      <c r="AN112" s="142"/>
      <c r="AO112" s="142"/>
      <c r="AP112" s="142"/>
      <c r="AQ112" s="142"/>
      <c r="AR112" s="142"/>
      <c r="AS112" s="142"/>
      <c r="AT112" s="142"/>
      <c r="AU112" s="142"/>
      <c r="AV112" s="189"/>
      <c r="AW112" s="189"/>
      <c r="AX112" s="189"/>
      <c r="AY112" s="189"/>
      <c r="AZ112" s="189"/>
    </row>
    <row r="113" spans="1:52">
      <c r="A113" s="189"/>
      <c r="B113" s="189"/>
      <c r="C113" s="189"/>
      <c r="D113" s="190"/>
      <c r="E113" s="189"/>
      <c r="F113" s="189"/>
      <c r="G113" s="189"/>
      <c r="H113" s="189"/>
      <c r="I113" s="189"/>
      <c r="J113" s="189"/>
      <c r="K113" s="189"/>
      <c r="L113" s="189"/>
      <c r="M113" s="189"/>
      <c r="N113" s="189"/>
      <c r="O113" s="189"/>
      <c r="P113" s="189"/>
      <c r="Q113" s="189"/>
      <c r="R113" s="189"/>
      <c r="S113" s="189"/>
      <c r="T113" s="189"/>
      <c r="U113" s="189"/>
      <c r="V113" s="216"/>
      <c r="W113" s="216"/>
      <c r="X113" s="216"/>
      <c r="Y113" s="216"/>
      <c r="Z113" s="216"/>
      <c r="AA113" s="216"/>
      <c r="AB113" s="216"/>
      <c r="AC113" s="216"/>
      <c r="AD113" s="216"/>
      <c r="AE113" s="216"/>
      <c r="AF113" s="189"/>
      <c r="AG113" s="189"/>
      <c r="AH113" s="142"/>
      <c r="AI113" s="142"/>
      <c r="AJ113" s="142"/>
      <c r="AK113" s="142"/>
      <c r="AL113" s="142"/>
      <c r="AM113" s="142"/>
      <c r="AN113" s="142"/>
      <c r="AO113" s="142"/>
      <c r="AP113" s="142"/>
      <c r="AQ113" s="142"/>
      <c r="AR113" s="142"/>
      <c r="AS113" s="142"/>
      <c r="AT113" s="142"/>
      <c r="AU113" s="142"/>
      <c r="AV113" s="189"/>
      <c r="AW113" s="189"/>
      <c r="AX113" s="189"/>
      <c r="AY113" s="189"/>
      <c r="AZ113" s="189"/>
    </row>
    <row r="114" spans="1:52">
      <c r="A114" s="189"/>
      <c r="B114" s="189"/>
      <c r="C114" s="189"/>
      <c r="D114" s="190"/>
      <c r="E114" s="189"/>
      <c r="F114" s="189"/>
      <c r="G114" s="189"/>
      <c r="H114" s="189"/>
      <c r="I114" s="189"/>
      <c r="J114" s="189"/>
      <c r="K114" s="189"/>
      <c r="L114" s="189"/>
      <c r="M114" s="189"/>
      <c r="N114" s="189"/>
      <c r="O114" s="189"/>
      <c r="P114" s="189"/>
      <c r="Q114" s="189"/>
      <c r="R114" s="189"/>
      <c r="S114" s="189"/>
      <c r="T114" s="189"/>
      <c r="U114" s="189"/>
      <c r="V114" s="216"/>
      <c r="W114" s="216"/>
      <c r="X114" s="216"/>
      <c r="Y114" s="216"/>
      <c r="Z114" s="216"/>
      <c r="AA114" s="216"/>
      <c r="AB114" s="216"/>
      <c r="AC114" s="216"/>
      <c r="AD114" s="216"/>
      <c r="AE114" s="216"/>
      <c r="AF114" s="189"/>
      <c r="AG114" s="189"/>
      <c r="AH114" s="142"/>
      <c r="AI114" s="142"/>
      <c r="AJ114" s="142"/>
      <c r="AK114" s="142"/>
      <c r="AL114" s="142"/>
      <c r="AM114" s="142"/>
      <c r="AN114" s="142"/>
      <c r="AO114" s="142"/>
      <c r="AP114" s="142"/>
      <c r="AQ114" s="142"/>
      <c r="AR114" s="142"/>
      <c r="AS114" s="142"/>
      <c r="AT114" s="142"/>
      <c r="AU114" s="142"/>
      <c r="AV114" s="189"/>
      <c r="AW114" s="189"/>
      <c r="AX114" s="189"/>
      <c r="AY114" s="189"/>
      <c r="AZ114" s="189"/>
    </row>
    <row r="115" spans="1:52">
      <c r="A115" s="189"/>
      <c r="B115" s="189"/>
      <c r="C115" s="189"/>
      <c r="D115" s="190"/>
      <c r="E115" s="189"/>
      <c r="F115" s="189"/>
      <c r="G115" s="189"/>
      <c r="H115" s="189"/>
      <c r="I115" s="189"/>
      <c r="J115" s="189"/>
      <c r="K115" s="189"/>
      <c r="L115" s="189"/>
      <c r="M115" s="189"/>
      <c r="N115" s="189"/>
      <c r="O115" s="189"/>
      <c r="P115" s="189"/>
      <c r="Q115" s="189"/>
      <c r="R115" s="189"/>
      <c r="S115" s="189"/>
      <c r="T115" s="189"/>
      <c r="U115" s="189"/>
      <c r="V115" s="216"/>
      <c r="W115" s="216"/>
      <c r="X115" s="216"/>
      <c r="Y115" s="216"/>
      <c r="Z115" s="216"/>
      <c r="AA115" s="216"/>
      <c r="AB115" s="216"/>
      <c r="AC115" s="216"/>
      <c r="AD115" s="216"/>
      <c r="AE115" s="216"/>
      <c r="AF115" s="189"/>
      <c r="AG115" s="189"/>
      <c r="AH115" s="142"/>
      <c r="AI115" s="142"/>
      <c r="AJ115" s="142"/>
      <c r="AK115" s="142"/>
      <c r="AL115" s="142"/>
      <c r="AM115" s="142"/>
      <c r="AN115" s="142"/>
      <c r="AO115" s="142"/>
      <c r="AP115" s="142"/>
      <c r="AQ115" s="142"/>
      <c r="AR115" s="142"/>
      <c r="AS115" s="142"/>
      <c r="AT115" s="142"/>
      <c r="AU115" s="142"/>
      <c r="AV115" s="189"/>
      <c r="AW115" s="189"/>
      <c r="AX115" s="189"/>
      <c r="AY115" s="189"/>
      <c r="AZ115" s="189"/>
    </row>
    <row r="116" spans="1:52">
      <c r="A116" s="189"/>
      <c r="B116" s="189"/>
      <c r="C116" s="189"/>
      <c r="D116" s="190"/>
      <c r="E116" s="189"/>
      <c r="F116" s="189"/>
      <c r="G116" s="189"/>
      <c r="H116" s="189"/>
      <c r="I116" s="189"/>
      <c r="J116" s="189"/>
      <c r="K116" s="189"/>
      <c r="L116" s="189"/>
      <c r="M116" s="189"/>
      <c r="N116" s="189"/>
      <c r="O116" s="189"/>
      <c r="P116" s="189"/>
      <c r="Q116" s="189"/>
      <c r="R116" s="189"/>
      <c r="S116" s="189"/>
      <c r="T116" s="189"/>
      <c r="U116" s="189"/>
      <c r="V116" s="216"/>
      <c r="W116" s="216"/>
      <c r="X116" s="216"/>
      <c r="Y116" s="216"/>
      <c r="Z116" s="216"/>
      <c r="AA116" s="216"/>
      <c r="AB116" s="216"/>
      <c r="AC116" s="216"/>
      <c r="AD116" s="216"/>
      <c r="AE116" s="216"/>
      <c r="AF116" s="189"/>
      <c r="AG116" s="189"/>
      <c r="AH116" s="142"/>
      <c r="AI116" s="142"/>
      <c r="AJ116" s="142"/>
      <c r="AK116" s="142"/>
      <c r="AL116" s="142"/>
      <c r="AM116" s="142"/>
      <c r="AN116" s="142"/>
      <c r="AO116" s="142"/>
      <c r="AP116" s="142"/>
      <c r="AQ116" s="142"/>
      <c r="AR116" s="142"/>
      <c r="AS116" s="142"/>
      <c r="AT116" s="142"/>
      <c r="AU116" s="142"/>
      <c r="AV116" s="189"/>
      <c r="AW116" s="189"/>
      <c r="AX116" s="189"/>
      <c r="AY116" s="189"/>
      <c r="AZ116" s="189"/>
    </row>
    <row r="117" spans="1:52">
      <c r="A117" s="189"/>
      <c r="B117" s="189"/>
      <c r="C117" s="189"/>
      <c r="D117" s="190"/>
      <c r="E117" s="189"/>
      <c r="F117" s="189"/>
      <c r="G117" s="189"/>
      <c r="H117" s="189"/>
      <c r="I117" s="189"/>
      <c r="J117" s="189"/>
      <c r="K117" s="189"/>
      <c r="L117" s="189"/>
      <c r="M117" s="189"/>
      <c r="N117" s="189"/>
      <c r="O117" s="189"/>
      <c r="P117" s="189"/>
      <c r="Q117" s="189"/>
      <c r="R117" s="189"/>
      <c r="S117" s="189"/>
      <c r="T117" s="189"/>
      <c r="U117" s="189"/>
      <c r="V117" s="216"/>
      <c r="W117" s="216"/>
      <c r="X117" s="216"/>
      <c r="Y117" s="216"/>
      <c r="Z117" s="216"/>
      <c r="AA117" s="216"/>
      <c r="AB117" s="216"/>
      <c r="AC117" s="216"/>
      <c r="AD117" s="216"/>
      <c r="AE117" s="216"/>
      <c r="AF117" s="189"/>
      <c r="AG117" s="189"/>
      <c r="AH117" s="142"/>
      <c r="AI117" s="142"/>
      <c r="AJ117" s="142"/>
      <c r="AK117" s="142"/>
      <c r="AL117" s="142"/>
      <c r="AM117" s="142"/>
      <c r="AN117" s="142"/>
      <c r="AO117" s="142"/>
      <c r="AP117" s="142"/>
      <c r="AQ117" s="142"/>
      <c r="AR117" s="142"/>
      <c r="AS117" s="142"/>
      <c r="AT117" s="142"/>
      <c r="AU117" s="142"/>
      <c r="AV117" s="189"/>
      <c r="AW117" s="189"/>
      <c r="AX117" s="189"/>
      <c r="AY117" s="189"/>
      <c r="AZ117" s="189"/>
    </row>
    <row r="118" spans="1:52">
      <c r="A118" s="189"/>
      <c r="B118" s="189"/>
      <c r="C118" s="189"/>
      <c r="D118" s="190"/>
      <c r="E118" s="189"/>
      <c r="F118" s="189"/>
      <c r="G118" s="189"/>
      <c r="H118" s="189"/>
      <c r="I118" s="189"/>
      <c r="J118" s="189"/>
      <c r="K118" s="189"/>
      <c r="L118" s="189"/>
      <c r="M118" s="189"/>
      <c r="N118" s="189"/>
      <c r="O118" s="189"/>
      <c r="P118" s="189"/>
      <c r="Q118" s="189"/>
      <c r="R118" s="189"/>
      <c r="S118" s="189"/>
      <c r="T118" s="189"/>
      <c r="U118" s="189"/>
      <c r="V118" s="216"/>
      <c r="W118" s="216"/>
      <c r="X118" s="216"/>
      <c r="Y118" s="216"/>
      <c r="Z118" s="216"/>
      <c r="AA118" s="216"/>
      <c r="AB118" s="216"/>
      <c r="AC118" s="216"/>
      <c r="AD118" s="216"/>
      <c r="AE118" s="216"/>
      <c r="AF118" s="189"/>
      <c r="AG118" s="189"/>
      <c r="AH118" s="142"/>
      <c r="AI118" s="142"/>
      <c r="AJ118" s="142"/>
      <c r="AK118" s="142"/>
      <c r="AL118" s="142"/>
      <c r="AM118" s="142"/>
      <c r="AN118" s="142"/>
      <c r="AO118" s="142"/>
      <c r="AP118" s="142"/>
      <c r="AQ118" s="142"/>
      <c r="AR118" s="142"/>
      <c r="AS118" s="142"/>
      <c r="AT118" s="142"/>
      <c r="AU118" s="142"/>
      <c r="AV118" s="189"/>
      <c r="AW118" s="189"/>
      <c r="AX118" s="189"/>
      <c r="AY118" s="189"/>
      <c r="AZ118" s="189"/>
    </row>
    <row r="119" spans="1:52">
      <c r="A119" s="189"/>
      <c r="B119" s="189"/>
      <c r="C119" s="189"/>
      <c r="D119" s="190"/>
      <c r="E119" s="189"/>
      <c r="F119" s="189"/>
      <c r="G119" s="189"/>
      <c r="H119" s="189"/>
      <c r="I119" s="189"/>
      <c r="J119" s="189"/>
      <c r="K119" s="189"/>
      <c r="L119" s="189"/>
      <c r="M119" s="189"/>
      <c r="N119" s="189"/>
      <c r="O119" s="189"/>
      <c r="P119" s="189"/>
      <c r="Q119" s="189"/>
      <c r="R119" s="189"/>
      <c r="S119" s="189"/>
      <c r="T119" s="189"/>
      <c r="U119" s="189"/>
      <c r="V119" s="216"/>
      <c r="W119" s="216"/>
      <c r="X119" s="216"/>
      <c r="Y119" s="216"/>
      <c r="Z119" s="216"/>
      <c r="AA119" s="216"/>
      <c r="AB119" s="216"/>
      <c r="AC119" s="216"/>
      <c r="AD119" s="216"/>
      <c r="AE119" s="216"/>
      <c r="AF119" s="189"/>
      <c r="AG119" s="189"/>
      <c r="AH119" s="142"/>
      <c r="AI119" s="142"/>
      <c r="AJ119" s="142"/>
      <c r="AK119" s="142"/>
      <c r="AL119" s="142"/>
      <c r="AM119" s="142"/>
      <c r="AN119" s="142"/>
      <c r="AO119" s="142"/>
      <c r="AP119" s="142"/>
      <c r="AQ119" s="142"/>
      <c r="AR119" s="142"/>
      <c r="AS119" s="142"/>
      <c r="AT119" s="142"/>
      <c r="AU119" s="142"/>
      <c r="AV119" s="189"/>
      <c r="AW119" s="189"/>
      <c r="AX119" s="189"/>
      <c r="AY119" s="189"/>
      <c r="AZ119" s="189"/>
    </row>
    <row r="120" spans="1:52">
      <c r="A120" s="189"/>
      <c r="B120" s="189"/>
      <c r="C120" s="189"/>
      <c r="D120" s="190"/>
      <c r="E120" s="189"/>
      <c r="F120" s="189"/>
      <c r="G120" s="189"/>
      <c r="H120" s="189"/>
      <c r="I120" s="189"/>
      <c r="J120" s="189"/>
      <c r="K120" s="189"/>
      <c r="L120" s="189"/>
      <c r="M120" s="189"/>
      <c r="N120" s="189"/>
      <c r="O120" s="189"/>
      <c r="P120" s="189"/>
      <c r="Q120" s="189"/>
      <c r="R120" s="189"/>
      <c r="S120" s="189"/>
      <c r="T120" s="189"/>
      <c r="U120" s="189"/>
      <c r="V120" s="216"/>
      <c r="W120" s="216"/>
      <c r="X120" s="216"/>
      <c r="Y120" s="216"/>
      <c r="Z120" s="216"/>
      <c r="AA120" s="216"/>
      <c r="AB120" s="216"/>
      <c r="AC120" s="216"/>
      <c r="AD120" s="216"/>
      <c r="AE120" s="216"/>
      <c r="AF120" s="189"/>
      <c r="AG120" s="189"/>
      <c r="AH120" s="142"/>
      <c r="AI120" s="142"/>
      <c r="AJ120" s="142"/>
      <c r="AK120" s="142"/>
      <c r="AL120" s="142"/>
      <c r="AM120" s="142"/>
      <c r="AN120" s="142"/>
      <c r="AO120" s="142"/>
      <c r="AP120" s="142"/>
      <c r="AQ120" s="142"/>
      <c r="AR120" s="142"/>
      <c r="AS120" s="142"/>
      <c r="AT120" s="142"/>
      <c r="AU120" s="142"/>
      <c r="AV120" s="189"/>
      <c r="AW120" s="189"/>
      <c r="AX120" s="189"/>
      <c r="AY120" s="189"/>
      <c r="AZ120" s="189"/>
    </row>
    <row r="121" spans="1:52">
      <c r="A121" s="189"/>
      <c r="B121" s="189"/>
      <c r="C121" s="189"/>
      <c r="D121" s="190"/>
      <c r="E121" s="189"/>
      <c r="F121" s="189"/>
      <c r="G121" s="189"/>
      <c r="H121" s="189"/>
      <c r="I121" s="189"/>
      <c r="J121" s="189"/>
      <c r="K121" s="189"/>
      <c r="L121" s="189"/>
      <c r="M121" s="189"/>
      <c r="N121" s="189"/>
      <c r="O121" s="189"/>
      <c r="P121" s="189"/>
      <c r="Q121" s="189"/>
      <c r="R121" s="189"/>
      <c r="S121" s="189"/>
      <c r="T121" s="189"/>
      <c r="U121" s="189"/>
      <c r="V121" s="216"/>
      <c r="W121" s="216"/>
      <c r="X121" s="216"/>
      <c r="Y121" s="216"/>
      <c r="Z121" s="216"/>
      <c r="AA121" s="216"/>
      <c r="AB121" s="216"/>
      <c r="AC121" s="216"/>
      <c r="AD121" s="216"/>
      <c r="AE121" s="216"/>
      <c r="AF121" s="189"/>
      <c r="AG121" s="189"/>
      <c r="AH121" s="142"/>
      <c r="AI121" s="142"/>
      <c r="AJ121" s="142"/>
      <c r="AK121" s="142"/>
      <c r="AL121" s="142"/>
      <c r="AM121" s="142"/>
      <c r="AN121" s="142"/>
      <c r="AO121" s="142"/>
      <c r="AP121" s="142"/>
      <c r="AQ121" s="142"/>
      <c r="AR121" s="142"/>
      <c r="AS121" s="142"/>
      <c r="AT121" s="142"/>
      <c r="AU121" s="142"/>
      <c r="AV121" s="189"/>
      <c r="AW121" s="189"/>
      <c r="AX121" s="189"/>
      <c r="AY121" s="189"/>
      <c r="AZ121" s="189"/>
    </row>
    <row r="122" spans="1:52">
      <c r="A122" s="189"/>
      <c r="B122" s="189"/>
      <c r="C122" s="189"/>
      <c r="D122" s="190"/>
      <c r="E122" s="189"/>
      <c r="F122" s="189"/>
      <c r="G122" s="189"/>
      <c r="H122" s="189"/>
      <c r="I122" s="189"/>
      <c r="J122" s="189"/>
      <c r="K122" s="189"/>
      <c r="L122" s="189"/>
      <c r="M122" s="189"/>
      <c r="N122" s="189"/>
      <c r="O122" s="189"/>
      <c r="P122" s="189"/>
      <c r="Q122" s="189"/>
      <c r="R122" s="189"/>
      <c r="S122" s="189"/>
      <c r="T122" s="189"/>
      <c r="U122" s="189"/>
      <c r="V122" s="216"/>
      <c r="W122" s="216"/>
      <c r="X122" s="216"/>
      <c r="Y122" s="216"/>
      <c r="Z122" s="216"/>
      <c r="AA122" s="216"/>
      <c r="AB122" s="216"/>
      <c r="AC122" s="216"/>
      <c r="AD122" s="216"/>
      <c r="AE122" s="216"/>
      <c r="AF122" s="189"/>
      <c r="AG122" s="189"/>
      <c r="AH122" s="142"/>
      <c r="AI122" s="142"/>
      <c r="AJ122" s="142"/>
      <c r="AK122" s="142"/>
      <c r="AL122" s="142"/>
      <c r="AM122" s="142"/>
      <c r="AN122" s="142"/>
      <c r="AO122" s="142"/>
      <c r="AP122" s="142"/>
      <c r="AQ122" s="142"/>
      <c r="AR122" s="142"/>
      <c r="AS122" s="142"/>
      <c r="AT122" s="142"/>
      <c r="AU122" s="142"/>
      <c r="AV122" s="189"/>
      <c r="AW122" s="189"/>
      <c r="AX122" s="189"/>
      <c r="AY122" s="189"/>
      <c r="AZ122" s="189"/>
    </row>
    <row r="123" spans="1:52">
      <c r="A123" s="189"/>
      <c r="B123" s="189"/>
      <c r="C123" s="189"/>
      <c r="D123" s="190"/>
      <c r="E123" s="189"/>
      <c r="F123" s="189"/>
      <c r="G123" s="189"/>
      <c r="H123" s="189"/>
      <c r="I123" s="189"/>
      <c r="J123" s="189"/>
      <c r="K123" s="189"/>
      <c r="L123" s="189"/>
      <c r="M123" s="189"/>
      <c r="N123" s="189"/>
      <c r="O123" s="189"/>
      <c r="P123" s="189"/>
      <c r="Q123" s="189"/>
      <c r="R123" s="189"/>
      <c r="S123" s="189"/>
      <c r="T123" s="189"/>
      <c r="U123" s="189"/>
      <c r="V123" s="216"/>
      <c r="W123" s="216"/>
      <c r="X123" s="216"/>
      <c r="Y123" s="216"/>
      <c r="Z123" s="216"/>
      <c r="AA123" s="216"/>
      <c r="AB123" s="216"/>
      <c r="AC123" s="216"/>
      <c r="AD123" s="216"/>
      <c r="AE123" s="216"/>
      <c r="AF123" s="189"/>
      <c r="AG123" s="189"/>
      <c r="AH123" s="142"/>
      <c r="AI123" s="142"/>
      <c r="AJ123" s="142"/>
      <c r="AK123" s="142"/>
      <c r="AL123" s="142"/>
      <c r="AM123" s="142"/>
      <c r="AN123" s="142"/>
      <c r="AO123" s="142"/>
      <c r="AP123" s="142"/>
      <c r="AQ123" s="142"/>
      <c r="AR123" s="142"/>
      <c r="AS123" s="142"/>
      <c r="AT123" s="142"/>
      <c r="AU123" s="142"/>
      <c r="AV123" s="189"/>
      <c r="AW123" s="189"/>
      <c r="AX123" s="189"/>
      <c r="AY123" s="189"/>
      <c r="AZ123" s="189"/>
    </row>
    <row r="124" spans="1:52">
      <c r="A124" s="189"/>
      <c r="B124" s="189"/>
      <c r="C124" s="189"/>
      <c r="D124" s="190"/>
      <c r="E124" s="189"/>
      <c r="F124" s="189"/>
      <c r="G124" s="189"/>
      <c r="H124" s="189"/>
      <c r="I124" s="189"/>
      <c r="J124" s="189"/>
      <c r="K124" s="189"/>
      <c r="L124" s="189"/>
      <c r="M124" s="189"/>
      <c r="N124" s="189"/>
      <c r="O124" s="189"/>
      <c r="P124" s="189"/>
      <c r="Q124" s="189"/>
      <c r="R124" s="189"/>
      <c r="S124" s="189"/>
      <c r="T124" s="189"/>
      <c r="U124" s="189"/>
      <c r="V124" s="216"/>
      <c r="W124" s="216"/>
      <c r="X124" s="216"/>
      <c r="Y124" s="216"/>
      <c r="Z124" s="216"/>
      <c r="AA124" s="216"/>
      <c r="AB124" s="216"/>
      <c r="AC124" s="216"/>
      <c r="AD124" s="216"/>
      <c r="AE124" s="216"/>
      <c r="AF124" s="189"/>
      <c r="AG124" s="189"/>
      <c r="AH124" s="142"/>
      <c r="AI124" s="142"/>
      <c r="AJ124" s="142"/>
      <c r="AK124" s="142"/>
      <c r="AL124" s="142"/>
      <c r="AM124" s="142"/>
      <c r="AN124" s="142"/>
      <c r="AO124" s="142"/>
      <c r="AP124" s="142"/>
      <c r="AQ124" s="142"/>
      <c r="AR124" s="142"/>
      <c r="AS124" s="142"/>
      <c r="AT124" s="142"/>
      <c r="AU124" s="142"/>
      <c r="AV124" s="189"/>
      <c r="AW124" s="189"/>
      <c r="AX124" s="189"/>
      <c r="AY124" s="189"/>
      <c r="AZ124" s="189"/>
    </row>
    <row r="125" spans="1:52">
      <c r="A125" s="189"/>
      <c r="B125" s="189"/>
      <c r="C125" s="189"/>
      <c r="D125" s="190"/>
      <c r="E125" s="189"/>
      <c r="F125" s="189"/>
      <c r="G125" s="189"/>
      <c r="H125" s="189"/>
      <c r="I125" s="189"/>
      <c r="J125" s="189"/>
      <c r="K125" s="189"/>
      <c r="L125" s="189"/>
      <c r="M125" s="189"/>
      <c r="N125" s="189"/>
      <c r="O125" s="189"/>
      <c r="P125" s="189"/>
      <c r="Q125" s="189"/>
      <c r="R125" s="189"/>
      <c r="S125" s="189"/>
      <c r="T125" s="189"/>
      <c r="U125" s="189"/>
      <c r="V125" s="216"/>
      <c r="W125" s="216"/>
      <c r="X125" s="216"/>
      <c r="Y125" s="216"/>
      <c r="Z125" s="216"/>
      <c r="AA125" s="216"/>
      <c r="AB125" s="216"/>
      <c r="AC125" s="216"/>
      <c r="AD125" s="216"/>
      <c r="AE125" s="216"/>
      <c r="AF125" s="189"/>
      <c r="AG125" s="189"/>
      <c r="AH125" s="142"/>
      <c r="AI125" s="142"/>
      <c r="AJ125" s="142"/>
      <c r="AK125" s="142"/>
      <c r="AL125" s="142"/>
      <c r="AM125" s="142"/>
      <c r="AN125" s="142"/>
      <c r="AO125" s="142"/>
      <c r="AP125" s="142"/>
      <c r="AQ125" s="142"/>
      <c r="AR125" s="142"/>
      <c r="AS125" s="142"/>
      <c r="AT125" s="142"/>
      <c r="AU125" s="142"/>
      <c r="AV125" s="189"/>
      <c r="AW125" s="189"/>
      <c r="AX125" s="189"/>
      <c r="AY125" s="189"/>
      <c r="AZ125" s="189"/>
    </row>
    <row r="126" spans="1:52">
      <c r="A126" s="189"/>
      <c r="B126" s="189"/>
      <c r="C126" s="189"/>
      <c r="D126" s="190"/>
      <c r="E126" s="189"/>
      <c r="F126" s="189"/>
      <c r="G126" s="189"/>
      <c r="H126" s="189"/>
      <c r="I126" s="189"/>
      <c r="J126" s="189"/>
      <c r="K126" s="189"/>
      <c r="L126" s="189"/>
      <c r="M126" s="189"/>
      <c r="N126" s="189"/>
      <c r="O126" s="189"/>
      <c r="P126" s="189"/>
      <c r="Q126" s="189"/>
      <c r="R126" s="189"/>
      <c r="S126" s="189"/>
      <c r="T126" s="189"/>
      <c r="U126" s="189"/>
      <c r="V126" s="216"/>
      <c r="W126" s="216"/>
      <c r="X126" s="216"/>
      <c r="Y126" s="216"/>
      <c r="Z126" s="216"/>
      <c r="AA126" s="216"/>
      <c r="AB126" s="216"/>
      <c r="AC126" s="216"/>
      <c r="AD126" s="216"/>
      <c r="AE126" s="216"/>
      <c r="AF126" s="189"/>
      <c r="AG126" s="189"/>
      <c r="AH126" s="142"/>
      <c r="AI126" s="142"/>
      <c r="AJ126" s="142"/>
      <c r="AK126" s="142"/>
      <c r="AL126" s="142"/>
      <c r="AM126" s="142"/>
      <c r="AN126" s="142"/>
      <c r="AO126" s="142"/>
      <c r="AP126" s="142"/>
      <c r="AQ126" s="142"/>
      <c r="AR126" s="142"/>
      <c r="AS126" s="142"/>
      <c r="AT126" s="142"/>
      <c r="AU126" s="142"/>
      <c r="AV126" s="189"/>
      <c r="AW126" s="189"/>
      <c r="AX126" s="189"/>
      <c r="AY126" s="189"/>
      <c r="AZ126" s="189"/>
    </row>
    <row r="127" spans="1:52">
      <c r="A127" s="189"/>
      <c r="B127" s="189"/>
      <c r="C127" s="189"/>
      <c r="D127" s="190"/>
      <c r="E127" s="189"/>
      <c r="F127" s="189"/>
      <c r="G127" s="189"/>
      <c r="H127" s="189"/>
      <c r="I127" s="189"/>
      <c r="J127" s="189"/>
      <c r="K127" s="189"/>
      <c r="L127" s="189"/>
      <c r="M127" s="189"/>
      <c r="N127" s="189"/>
      <c r="O127" s="189"/>
      <c r="P127" s="189"/>
      <c r="Q127" s="189"/>
      <c r="R127" s="189"/>
      <c r="S127" s="189"/>
      <c r="T127" s="189"/>
      <c r="U127" s="189"/>
      <c r="V127" s="216"/>
      <c r="W127" s="216"/>
      <c r="X127" s="216"/>
      <c r="Y127" s="216"/>
      <c r="Z127" s="216"/>
      <c r="AA127" s="216"/>
      <c r="AB127" s="216"/>
      <c r="AC127" s="216"/>
      <c r="AD127" s="216"/>
      <c r="AE127" s="216"/>
      <c r="AF127" s="189"/>
      <c r="AG127" s="189"/>
      <c r="AH127" s="142"/>
      <c r="AI127" s="142"/>
      <c r="AJ127" s="142"/>
      <c r="AK127" s="142"/>
      <c r="AL127" s="142"/>
      <c r="AM127" s="142"/>
      <c r="AN127" s="142"/>
      <c r="AO127" s="142"/>
      <c r="AP127" s="142"/>
      <c r="AQ127" s="142"/>
      <c r="AR127" s="142"/>
      <c r="AS127" s="142"/>
      <c r="AT127" s="142"/>
      <c r="AU127" s="142"/>
      <c r="AV127" s="189"/>
      <c r="AW127" s="189"/>
      <c r="AX127" s="189"/>
      <c r="AY127" s="189"/>
      <c r="AZ127" s="189"/>
    </row>
    <row r="128" spans="1:52">
      <c r="A128" s="189"/>
      <c r="B128" s="189"/>
      <c r="C128" s="189"/>
      <c r="D128" s="190"/>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42"/>
      <c r="AI128" s="142"/>
      <c r="AJ128" s="142"/>
      <c r="AK128" s="142"/>
      <c r="AL128" s="142"/>
      <c r="AM128" s="142"/>
      <c r="AN128" s="142"/>
      <c r="AO128" s="142"/>
      <c r="AP128" s="142"/>
      <c r="AQ128" s="142"/>
      <c r="AR128" s="142"/>
      <c r="AS128" s="142"/>
      <c r="AT128" s="142"/>
      <c r="AU128" s="142"/>
      <c r="AV128" s="189"/>
      <c r="AW128" s="189"/>
      <c r="AX128" s="189"/>
      <c r="AY128" s="189"/>
      <c r="AZ128" s="189"/>
    </row>
    <row r="129" spans="1:52">
      <c r="A129" s="189"/>
      <c r="B129" s="189"/>
      <c r="C129" s="189"/>
      <c r="D129" s="190"/>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42"/>
      <c r="AI129" s="142"/>
      <c r="AJ129" s="142"/>
      <c r="AK129" s="142"/>
      <c r="AL129" s="142"/>
      <c r="AM129" s="142"/>
      <c r="AN129" s="142"/>
      <c r="AO129" s="142"/>
      <c r="AP129" s="142"/>
      <c r="AQ129" s="142"/>
      <c r="AR129" s="142"/>
      <c r="AS129" s="142"/>
      <c r="AT129" s="142"/>
      <c r="AU129" s="142"/>
      <c r="AV129" s="189"/>
      <c r="AW129" s="189"/>
      <c r="AX129" s="189"/>
      <c r="AY129" s="189"/>
      <c r="AZ129" s="189"/>
    </row>
    <row r="130" spans="1:52">
      <c r="A130" s="189"/>
      <c r="B130" s="189"/>
      <c r="C130" s="189"/>
      <c r="D130" s="190"/>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42"/>
      <c r="AI130" s="142"/>
      <c r="AJ130" s="142"/>
      <c r="AK130" s="142"/>
      <c r="AL130" s="142"/>
      <c r="AM130" s="142"/>
      <c r="AN130" s="142"/>
      <c r="AO130" s="142"/>
      <c r="AP130" s="142"/>
      <c r="AQ130" s="142"/>
      <c r="AR130" s="142"/>
      <c r="AS130" s="142"/>
      <c r="AT130" s="142"/>
      <c r="AU130" s="142"/>
      <c r="AV130" s="189"/>
      <c r="AW130" s="189"/>
      <c r="AX130" s="189"/>
      <c r="AY130" s="189"/>
      <c r="AZ130" s="189"/>
    </row>
    <row r="131" spans="1:52">
      <c r="A131" s="189"/>
      <c r="B131" s="189"/>
      <c r="C131" s="189"/>
      <c r="D131" s="190"/>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42"/>
      <c r="AI131" s="142"/>
      <c r="AJ131" s="142"/>
      <c r="AK131" s="142"/>
      <c r="AL131" s="142"/>
      <c r="AM131" s="142"/>
      <c r="AN131" s="142"/>
      <c r="AO131" s="142"/>
      <c r="AP131" s="142"/>
      <c r="AQ131" s="142"/>
      <c r="AR131" s="142"/>
      <c r="AS131" s="142"/>
      <c r="AT131" s="142"/>
      <c r="AU131" s="142"/>
      <c r="AV131" s="189"/>
      <c r="AW131" s="189"/>
      <c r="AX131" s="189"/>
      <c r="AY131" s="189"/>
      <c r="AZ131" s="189"/>
    </row>
    <row r="132" spans="1:52">
      <c r="A132" s="189"/>
      <c r="B132" s="189"/>
      <c r="C132" s="189"/>
      <c r="D132" s="190"/>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42"/>
      <c r="AI132" s="142"/>
      <c r="AJ132" s="142"/>
      <c r="AK132" s="142"/>
      <c r="AL132" s="142"/>
      <c r="AM132" s="142"/>
      <c r="AN132" s="142"/>
      <c r="AO132" s="142"/>
      <c r="AP132" s="142"/>
      <c r="AQ132" s="142"/>
      <c r="AR132" s="142"/>
      <c r="AS132" s="142"/>
      <c r="AT132" s="142"/>
      <c r="AU132" s="142"/>
      <c r="AV132" s="189"/>
      <c r="AW132" s="189"/>
      <c r="AX132" s="189"/>
      <c r="AY132" s="189"/>
      <c r="AZ132" s="189"/>
    </row>
    <row r="133" spans="1:52">
      <c r="A133" s="189"/>
      <c r="B133" s="189"/>
      <c r="C133" s="189"/>
      <c r="D133" s="190"/>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42"/>
      <c r="AI133" s="142"/>
      <c r="AJ133" s="142"/>
      <c r="AK133" s="142"/>
      <c r="AL133" s="142"/>
      <c r="AM133" s="142"/>
      <c r="AN133" s="142"/>
      <c r="AO133" s="142"/>
      <c r="AP133" s="142"/>
      <c r="AQ133" s="142"/>
      <c r="AR133" s="142"/>
      <c r="AS133" s="142"/>
      <c r="AT133" s="142"/>
      <c r="AU133" s="142"/>
      <c r="AV133" s="189"/>
      <c r="AW133" s="189"/>
      <c r="AX133" s="189"/>
      <c r="AY133" s="189"/>
      <c r="AZ133" s="189"/>
    </row>
    <row r="134" spans="1:52">
      <c r="A134" s="189"/>
      <c r="B134" s="189"/>
      <c r="C134" s="189"/>
      <c r="D134" s="190"/>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42"/>
      <c r="AI134" s="142"/>
      <c r="AJ134" s="142"/>
      <c r="AK134" s="142"/>
      <c r="AL134" s="142"/>
      <c r="AM134" s="142"/>
      <c r="AN134" s="142"/>
      <c r="AO134" s="142"/>
      <c r="AP134" s="142"/>
      <c r="AQ134" s="142"/>
      <c r="AR134" s="142"/>
      <c r="AS134" s="142"/>
      <c r="AT134" s="142"/>
      <c r="AU134" s="142"/>
      <c r="AV134" s="189"/>
      <c r="AW134" s="189"/>
      <c r="AX134" s="189"/>
      <c r="AY134" s="189"/>
      <c r="AZ134" s="189"/>
    </row>
    <row r="135" spans="1:52">
      <c r="A135" s="189"/>
      <c r="B135" s="189"/>
      <c r="C135" s="189"/>
      <c r="D135" s="190"/>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42"/>
      <c r="AI135" s="142"/>
      <c r="AJ135" s="142"/>
      <c r="AK135" s="142"/>
      <c r="AL135" s="142"/>
      <c r="AM135" s="142"/>
      <c r="AN135" s="142"/>
      <c r="AO135" s="142"/>
      <c r="AP135" s="142"/>
      <c r="AQ135" s="142"/>
      <c r="AR135" s="142"/>
      <c r="AS135" s="142"/>
      <c r="AT135" s="142"/>
      <c r="AU135" s="142"/>
      <c r="AV135" s="189"/>
      <c r="AW135" s="189"/>
      <c r="AX135" s="189"/>
      <c r="AY135" s="189"/>
      <c r="AZ135" s="189"/>
    </row>
    <row r="136" spans="1:52">
      <c r="A136" s="189"/>
      <c r="B136" s="189"/>
      <c r="C136" s="189"/>
      <c r="D136" s="190"/>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42"/>
      <c r="AI136" s="142"/>
      <c r="AJ136" s="142"/>
      <c r="AK136" s="142"/>
      <c r="AL136" s="142"/>
      <c r="AM136" s="142"/>
      <c r="AN136" s="142"/>
      <c r="AO136" s="142"/>
      <c r="AP136" s="142"/>
      <c r="AQ136" s="142"/>
      <c r="AR136" s="142"/>
      <c r="AS136" s="142"/>
      <c r="AT136" s="142"/>
      <c r="AU136" s="142"/>
      <c r="AV136" s="189"/>
      <c r="AW136" s="189"/>
      <c r="AX136" s="189"/>
      <c r="AY136" s="189"/>
      <c r="AZ136" s="189"/>
    </row>
    <row r="137" spans="1:52">
      <c r="A137" s="189"/>
      <c r="B137" s="189"/>
      <c r="C137" s="189"/>
      <c r="D137" s="190"/>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42"/>
      <c r="AI137" s="142"/>
      <c r="AJ137" s="142"/>
      <c r="AK137" s="142"/>
      <c r="AL137" s="142"/>
      <c r="AM137" s="142"/>
      <c r="AN137" s="142"/>
      <c r="AO137" s="142"/>
      <c r="AP137" s="142"/>
      <c r="AQ137" s="142"/>
      <c r="AR137" s="142"/>
      <c r="AS137" s="142"/>
      <c r="AT137" s="142"/>
      <c r="AU137" s="142"/>
      <c r="AV137" s="189"/>
      <c r="AW137" s="189"/>
      <c r="AX137" s="189"/>
      <c r="AY137" s="189"/>
      <c r="AZ137" s="189"/>
    </row>
    <row r="138" spans="1:52">
      <c r="A138" s="189"/>
      <c r="B138" s="189"/>
      <c r="C138" s="189"/>
      <c r="D138" s="190"/>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42"/>
      <c r="AI138" s="142"/>
      <c r="AJ138" s="142"/>
      <c r="AK138" s="142"/>
      <c r="AL138" s="142"/>
      <c r="AM138" s="142"/>
      <c r="AN138" s="142"/>
      <c r="AO138" s="142"/>
      <c r="AP138" s="142"/>
      <c r="AQ138" s="142"/>
      <c r="AR138" s="142"/>
      <c r="AS138" s="142"/>
      <c r="AT138" s="142"/>
      <c r="AU138" s="142"/>
      <c r="AV138" s="189"/>
      <c r="AW138" s="189"/>
      <c r="AX138" s="189"/>
      <c r="AY138" s="189"/>
      <c r="AZ138" s="189"/>
    </row>
    <row r="139" spans="1:52">
      <c r="A139" s="189"/>
      <c r="B139" s="189"/>
      <c r="C139" s="189"/>
      <c r="D139" s="190"/>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42"/>
      <c r="AI139" s="142"/>
      <c r="AJ139" s="142"/>
      <c r="AK139" s="142"/>
      <c r="AL139" s="142"/>
      <c r="AM139" s="142"/>
      <c r="AN139" s="142"/>
      <c r="AO139" s="142"/>
      <c r="AP139" s="142"/>
      <c r="AQ139" s="142"/>
      <c r="AR139" s="142"/>
      <c r="AS139" s="142"/>
      <c r="AT139" s="142"/>
      <c r="AU139" s="142"/>
      <c r="AV139" s="189"/>
      <c r="AW139" s="189"/>
      <c r="AX139" s="189"/>
      <c r="AY139" s="189"/>
      <c r="AZ139" s="189"/>
    </row>
    <row r="140" spans="1:52">
      <c r="A140" s="189"/>
      <c r="B140" s="189"/>
      <c r="C140" s="189"/>
      <c r="D140" s="190"/>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42"/>
      <c r="AI140" s="142"/>
      <c r="AJ140" s="142"/>
      <c r="AK140" s="142"/>
      <c r="AL140" s="142"/>
      <c r="AM140" s="142"/>
      <c r="AN140" s="142"/>
      <c r="AO140" s="142"/>
      <c r="AP140" s="142"/>
      <c r="AQ140" s="142"/>
      <c r="AR140" s="142"/>
      <c r="AS140" s="142"/>
      <c r="AT140" s="142"/>
      <c r="AU140" s="142"/>
      <c r="AV140" s="189"/>
      <c r="AW140" s="189"/>
      <c r="AX140" s="189"/>
      <c r="AY140" s="189"/>
      <c r="AZ140" s="189"/>
    </row>
    <row r="141" spans="1:52">
      <c r="A141" s="189"/>
      <c r="B141" s="189"/>
      <c r="C141" s="189"/>
      <c r="D141" s="190"/>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42"/>
      <c r="AI141" s="142"/>
      <c r="AJ141" s="142"/>
      <c r="AK141" s="142"/>
      <c r="AL141" s="142"/>
      <c r="AM141" s="142"/>
      <c r="AN141" s="142"/>
      <c r="AO141" s="142"/>
      <c r="AP141" s="142"/>
      <c r="AQ141" s="142"/>
      <c r="AR141" s="142"/>
      <c r="AS141" s="142"/>
      <c r="AT141" s="142"/>
      <c r="AU141" s="142"/>
      <c r="AV141" s="189"/>
      <c r="AW141" s="189"/>
      <c r="AX141" s="189"/>
      <c r="AY141" s="189"/>
      <c r="AZ141" s="189"/>
    </row>
    <row r="142" spans="1:52">
      <c r="A142" s="189"/>
      <c r="B142" s="189"/>
      <c r="C142" s="189"/>
      <c r="D142" s="190"/>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42"/>
      <c r="AI142" s="142"/>
      <c r="AJ142" s="142"/>
      <c r="AK142" s="142"/>
      <c r="AL142" s="142"/>
      <c r="AM142" s="142"/>
      <c r="AN142" s="142"/>
      <c r="AO142" s="142"/>
      <c r="AP142" s="142"/>
      <c r="AQ142" s="142"/>
      <c r="AR142" s="142"/>
      <c r="AS142" s="142"/>
      <c r="AT142" s="142"/>
      <c r="AU142" s="142"/>
      <c r="AV142" s="189"/>
      <c r="AW142" s="189"/>
      <c r="AX142" s="189"/>
      <c r="AY142" s="189"/>
      <c r="AZ142" s="189"/>
    </row>
    <row r="143" spans="1:52">
      <c r="A143" s="189"/>
      <c r="B143" s="189"/>
      <c r="C143" s="189"/>
      <c r="D143" s="190"/>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42"/>
      <c r="AI143" s="142"/>
      <c r="AJ143" s="142"/>
      <c r="AK143" s="142"/>
      <c r="AL143" s="142"/>
      <c r="AM143" s="142"/>
      <c r="AN143" s="142"/>
      <c r="AO143" s="142"/>
      <c r="AP143" s="142"/>
      <c r="AQ143" s="142"/>
      <c r="AR143" s="142"/>
      <c r="AS143" s="142"/>
      <c r="AT143" s="142"/>
      <c r="AU143" s="142"/>
      <c r="AV143" s="189"/>
      <c r="AW143" s="189"/>
      <c r="AX143" s="189"/>
      <c r="AY143" s="189"/>
      <c r="AZ143" s="189"/>
    </row>
    <row r="144" spans="1:52">
      <c r="A144" s="189"/>
      <c r="B144" s="189"/>
      <c r="C144" s="189"/>
      <c r="D144" s="190"/>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42"/>
      <c r="AI144" s="142"/>
      <c r="AJ144" s="142"/>
      <c r="AK144" s="142"/>
      <c r="AL144" s="142"/>
      <c r="AM144" s="142"/>
      <c r="AN144" s="142"/>
      <c r="AO144" s="142"/>
      <c r="AP144" s="142"/>
      <c r="AQ144" s="142"/>
      <c r="AR144" s="142"/>
      <c r="AS144" s="142"/>
      <c r="AT144" s="142"/>
      <c r="AU144" s="142"/>
      <c r="AV144" s="189"/>
      <c r="AW144" s="189"/>
      <c r="AX144" s="189"/>
      <c r="AY144" s="189"/>
      <c r="AZ144" s="189"/>
    </row>
    <row r="145" spans="1:52">
      <c r="A145" s="189"/>
      <c r="B145" s="189"/>
      <c r="C145" s="189"/>
      <c r="D145" s="190"/>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42"/>
      <c r="AI145" s="142"/>
      <c r="AJ145" s="142"/>
      <c r="AK145" s="142"/>
      <c r="AL145" s="142"/>
      <c r="AM145" s="142"/>
      <c r="AN145" s="142"/>
      <c r="AO145" s="142"/>
      <c r="AP145" s="142"/>
      <c r="AQ145" s="142"/>
      <c r="AR145" s="142"/>
      <c r="AS145" s="142"/>
      <c r="AT145" s="142"/>
      <c r="AU145" s="142"/>
      <c r="AV145" s="189"/>
      <c r="AW145" s="189"/>
      <c r="AX145" s="189"/>
      <c r="AY145" s="189"/>
      <c r="AZ145" s="189"/>
    </row>
    <row r="146" spans="1:52">
      <c r="A146" s="189"/>
      <c r="B146" s="189"/>
      <c r="C146" s="189"/>
      <c r="D146" s="190"/>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42"/>
      <c r="AI146" s="142"/>
      <c r="AJ146" s="142"/>
      <c r="AK146" s="142"/>
      <c r="AL146" s="142"/>
      <c r="AM146" s="142"/>
      <c r="AN146" s="142"/>
      <c r="AO146" s="142"/>
      <c r="AP146" s="142"/>
      <c r="AQ146" s="142"/>
      <c r="AR146" s="142"/>
      <c r="AS146" s="142"/>
      <c r="AT146" s="142"/>
      <c r="AU146" s="142"/>
      <c r="AV146" s="189"/>
      <c r="AW146" s="189"/>
      <c r="AX146" s="189"/>
      <c r="AY146" s="189"/>
      <c r="AZ146" s="189"/>
    </row>
    <row r="147" spans="1:52">
      <c r="A147" s="189"/>
      <c r="B147" s="189"/>
      <c r="C147" s="189"/>
      <c r="D147" s="190"/>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42"/>
      <c r="AI147" s="142"/>
      <c r="AJ147" s="142"/>
      <c r="AK147" s="142"/>
      <c r="AL147" s="142"/>
      <c r="AM147" s="142"/>
      <c r="AN147" s="142"/>
      <c r="AO147" s="142"/>
      <c r="AP147" s="142"/>
      <c r="AQ147" s="142"/>
      <c r="AR147" s="142"/>
      <c r="AS147" s="142"/>
      <c r="AT147" s="142"/>
      <c r="AU147" s="142"/>
      <c r="AV147" s="189"/>
      <c r="AW147" s="189"/>
      <c r="AX147" s="189"/>
      <c r="AY147" s="189"/>
      <c r="AZ147" s="189"/>
    </row>
    <row r="148" spans="1:52">
      <c r="A148" s="189"/>
      <c r="B148" s="189"/>
      <c r="C148" s="189"/>
      <c r="D148" s="190"/>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42"/>
      <c r="AI148" s="142"/>
      <c r="AJ148" s="142"/>
      <c r="AK148" s="142"/>
      <c r="AL148" s="142"/>
      <c r="AM148" s="142"/>
      <c r="AN148" s="142"/>
      <c r="AO148" s="142"/>
      <c r="AP148" s="142"/>
      <c r="AQ148" s="142"/>
      <c r="AR148" s="142"/>
      <c r="AS148" s="142"/>
      <c r="AT148" s="142"/>
      <c r="AU148" s="142"/>
      <c r="AV148" s="189"/>
      <c r="AW148" s="189"/>
      <c r="AX148" s="189"/>
      <c r="AY148" s="189"/>
      <c r="AZ148" s="189"/>
    </row>
    <row r="149" spans="1:52">
      <c r="A149" s="189"/>
      <c r="B149" s="189"/>
      <c r="C149" s="189"/>
      <c r="D149" s="190"/>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42"/>
      <c r="AI149" s="142"/>
      <c r="AJ149" s="142"/>
      <c r="AK149" s="142"/>
      <c r="AL149" s="142"/>
      <c r="AM149" s="142"/>
      <c r="AN149" s="142"/>
      <c r="AO149" s="142"/>
      <c r="AP149" s="142"/>
      <c r="AQ149" s="142"/>
      <c r="AR149" s="142"/>
      <c r="AS149" s="142"/>
      <c r="AT149" s="142"/>
      <c r="AU149" s="142"/>
      <c r="AV149" s="189"/>
      <c r="AW149" s="189"/>
      <c r="AX149" s="189"/>
      <c r="AY149" s="189"/>
      <c r="AZ149" s="189"/>
    </row>
    <row r="150" spans="1:52">
      <c r="A150" s="189"/>
      <c r="B150" s="189"/>
      <c r="C150" s="189"/>
      <c r="D150" s="190"/>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42"/>
      <c r="AI150" s="142"/>
      <c r="AJ150" s="142"/>
      <c r="AK150" s="142"/>
      <c r="AL150" s="142"/>
      <c r="AM150" s="142"/>
      <c r="AN150" s="142"/>
      <c r="AO150" s="142"/>
      <c r="AP150" s="142"/>
      <c r="AQ150" s="142"/>
      <c r="AR150" s="142"/>
      <c r="AS150" s="142"/>
      <c r="AT150" s="142"/>
      <c r="AU150" s="142"/>
      <c r="AV150" s="189"/>
      <c r="AW150" s="189"/>
      <c r="AX150" s="189"/>
      <c r="AY150" s="189"/>
      <c r="AZ150" s="189"/>
    </row>
    <row r="151" spans="1:52">
      <c r="A151" s="189"/>
      <c r="B151" s="189"/>
      <c r="C151" s="189"/>
      <c r="D151" s="190"/>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42"/>
      <c r="AI151" s="142"/>
      <c r="AJ151" s="142"/>
      <c r="AK151" s="142"/>
      <c r="AL151" s="142"/>
      <c r="AM151" s="142"/>
      <c r="AN151" s="142"/>
      <c r="AO151" s="142"/>
      <c r="AP151" s="142"/>
      <c r="AQ151" s="142"/>
      <c r="AR151" s="142"/>
      <c r="AS151" s="142"/>
      <c r="AT151" s="142"/>
      <c r="AU151" s="142"/>
      <c r="AV151" s="189"/>
      <c r="AW151" s="189"/>
      <c r="AX151" s="189"/>
      <c r="AY151" s="189"/>
      <c r="AZ151" s="189"/>
    </row>
    <row r="152" spans="1:52">
      <c r="A152" s="189"/>
      <c r="B152" s="189"/>
      <c r="C152" s="189"/>
      <c r="D152" s="190"/>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42"/>
      <c r="AI152" s="142"/>
      <c r="AJ152" s="142"/>
      <c r="AK152" s="142"/>
      <c r="AL152" s="142"/>
      <c r="AM152" s="142"/>
      <c r="AN152" s="142"/>
      <c r="AO152" s="142"/>
      <c r="AP152" s="142"/>
      <c r="AQ152" s="142"/>
      <c r="AR152" s="142"/>
      <c r="AS152" s="142"/>
      <c r="AT152" s="142"/>
      <c r="AU152" s="142"/>
      <c r="AV152" s="189"/>
      <c r="AW152" s="189"/>
      <c r="AX152" s="189"/>
      <c r="AY152" s="189"/>
      <c r="AZ152" s="189"/>
    </row>
    <row r="153" spans="1:52">
      <c r="A153" s="189"/>
      <c r="B153" s="189"/>
      <c r="C153" s="189"/>
      <c r="D153" s="190"/>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42"/>
      <c r="AI153" s="142"/>
      <c r="AJ153" s="142"/>
      <c r="AK153" s="142"/>
      <c r="AL153" s="142"/>
      <c r="AM153" s="142"/>
      <c r="AN153" s="142"/>
      <c r="AO153" s="142"/>
      <c r="AP153" s="142"/>
      <c r="AQ153" s="142"/>
      <c r="AR153" s="142"/>
      <c r="AS153" s="142"/>
      <c r="AT153" s="142"/>
      <c r="AU153" s="142"/>
      <c r="AV153" s="189"/>
      <c r="AW153" s="189"/>
      <c r="AX153" s="189"/>
      <c r="AY153" s="189"/>
      <c r="AZ153" s="189"/>
    </row>
    <row r="154" spans="1:52">
      <c r="A154" s="189"/>
      <c r="B154" s="189"/>
      <c r="C154" s="189"/>
      <c r="D154" s="190"/>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42"/>
      <c r="AI154" s="142"/>
      <c r="AJ154" s="142"/>
      <c r="AK154" s="142"/>
      <c r="AL154" s="142"/>
      <c r="AM154" s="142"/>
      <c r="AN154" s="142"/>
      <c r="AO154" s="142"/>
      <c r="AP154" s="142"/>
      <c r="AQ154" s="142"/>
      <c r="AR154" s="142"/>
      <c r="AS154" s="142"/>
      <c r="AT154" s="142"/>
      <c r="AU154" s="142"/>
      <c r="AV154" s="189"/>
      <c r="AW154" s="189"/>
      <c r="AX154" s="189"/>
      <c r="AY154" s="189"/>
      <c r="AZ154" s="189"/>
    </row>
    <row r="155" spans="1:52">
      <c r="A155" s="189"/>
      <c r="B155" s="189"/>
      <c r="C155" s="189"/>
      <c r="D155" s="190"/>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42"/>
      <c r="AI155" s="142"/>
      <c r="AJ155" s="142"/>
      <c r="AK155" s="142"/>
      <c r="AL155" s="142"/>
      <c r="AM155" s="142"/>
      <c r="AN155" s="142"/>
      <c r="AO155" s="142"/>
      <c r="AP155" s="142"/>
      <c r="AQ155" s="142"/>
      <c r="AR155" s="142"/>
      <c r="AS155" s="142"/>
      <c r="AT155" s="142"/>
      <c r="AU155" s="142"/>
      <c r="AV155" s="189"/>
      <c r="AW155" s="189"/>
      <c r="AX155" s="189"/>
      <c r="AY155" s="189"/>
      <c r="AZ155" s="189"/>
    </row>
    <row r="156" spans="1:52">
      <c r="AH156" s="142"/>
      <c r="AI156" s="142"/>
      <c r="AJ156" s="142"/>
      <c r="AK156" s="142"/>
      <c r="AL156" s="142"/>
      <c r="AM156" s="142"/>
      <c r="AN156" s="142"/>
      <c r="AO156" s="142"/>
      <c r="AP156" s="142"/>
      <c r="AQ156" s="142"/>
      <c r="AR156" s="142"/>
      <c r="AS156" s="142"/>
      <c r="AT156" s="142"/>
      <c r="AU156" s="142"/>
      <c r="AV156" s="189"/>
      <c r="AW156" s="189"/>
      <c r="AX156" s="189"/>
      <c r="AY156" s="189"/>
      <c r="AZ156" s="189"/>
    </row>
  </sheetData>
  <sheetProtection algorithmName="SHA-512" hashValue="uoVDGqA8BiOPWwOgk5Td8OJA03YLfWhfEXZ7c/sXp98iWR02LeYgLcHB2oByitfb4dAt6yRs/D+XVLokNjthYA==" saltValue="J7FYsdkljw3Ufz8UU6dw9w==" spinCount="100000" sheet="1" autoFilter="0"/>
  <mergeCells count="22">
    <mergeCell ref="D16:D17"/>
    <mergeCell ref="E16:E17"/>
    <mergeCell ref="F16:F17"/>
    <mergeCell ref="G16:G17"/>
    <mergeCell ref="Q5:Q6"/>
    <mergeCell ref="I4:I6"/>
    <mergeCell ref="J4:S4"/>
    <mergeCell ref="U4:U6"/>
    <mergeCell ref="V4:AF4"/>
    <mergeCell ref="D4:D5"/>
    <mergeCell ref="E4:E5"/>
    <mergeCell ref="F4:F5"/>
    <mergeCell ref="G4:G5"/>
    <mergeCell ref="J5:J6"/>
    <mergeCell ref="R5:R6"/>
    <mergeCell ref="S5:S6"/>
    <mergeCell ref="K5:K6"/>
    <mergeCell ref="L5:L6"/>
    <mergeCell ref="M5:M6"/>
    <mergeCell ref="N5:N6"/>
    <mergeCell ref="O5:O6"/>
    <mergeCell ref="P5:P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C16DFCD-82F9-4552-811D-9AB05C70929E}">
          <x14:formula1>
            <xm:f>'Emissions Lookup Table'!$AA$4:$AA$9</xm:f>
          </x14:formula1>
          <xm:sqref>F6:F15</xm:sqref>
        </x14:dataValidation>
        <x14:dataValidation type="list" allowBlank="1" showInputMessage="1" showErrorMessage="1" xr:uid="{AA6E07CC-D53B-432F-B66C-3A74625C6752}">
          <x14:formula1>
            <xm:f>'Emissions Lookup Table'!$AB$5:$AB$7</xm:f>
          </x14:formula1>
          <xm:sqref>G6:G15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8F24-AA45-4C78-A4B0-961048CB0460}">
  <sheetPr>
    <pageSetUpPr fitToPage="1"/>
  </sheetPr>
  <dimension ref="A1:MG268"/>
  <sheetViews>
    <sheetView zoomScale="90" zoomScaleNormal="90" workbookViewId="0">
      <selection activeCell="H3" sqref="H3"/>
    </sheetView>
  </sheetViews>
  <sheetFormatPr defaultColWidth="9.140625" defaultRowHeight="15" customHeight="1"/>
  <cols>
    <col min="1" max="1" width="25.140625" style="221" customWidth="1"/>
    <col min="2" max="2" width="20.140625" style="221" bestFit="1" customWidth="1"/>
    <col min="3" max="3" width="8.140625" style="221" bestFit="1" customWidth="1"/>
    <col min="4" max="4" width="35.140625" style="220" hidden="1" customWidth="1"/>
    <col min="5" max="5" width="28.140625" style="220" hidden="1" customWidth="1"/>
    <col min="6" max="6" width="31.7109375" style="221" bestFit="1" customWidth="1"/>
    <col min="7" max="7" width="33" style="220" hidden="1" customWidth="1"/>
    <col min="8" max="8" width="20.7109375" style="221" bestFit="1" customWidth="1"/>
    <col min="9" max="9" width="9.140625" style="221"/>
    <col min="10" max="10" width="28.42578125" style="221" customWidth="1"/>
    <col min="11" max="11" width="11.42578125" style="221" bestFit="1" customWidth="1"/>
    <col min="12" max="12" width="8.140625" style="221" customWidth="1"/>
    <col min="13" max="13" width="39.85546875" style="220" hidden="1" customWidth="1"/>
    <col min="14" max="14" width="28.140625" style="220" hidden="1" customWidth="1"/>
    <col min="15" max="15" width="31.7109375" style="221" bestFit="1" customWidth="1"/>
    <col min="16" max="16" width="33" style="220" hidden="1" customWidth="1"/>
    <col min="17" max="17" width="20.7109375" style="221" bestFit="1" customWidth="1"/>
    <col min="18" max="18" width="9.140625" style="221"/>
    <col min="19" max="19" width="52.28515625" style="221" bestFit="1" customWidth="1"/>
    <col min="20" max="20" width="9.28515625" style="221" bestFit="1" customWidth="1"/>
    <col min="21" max="21" width="8.28515625" style="221" bestFit="1" customWidth="1"/>
    <col min="22" max="22" width="60.7109375" style="220" hidden="1" customWidth="1"/>
    <col min="23" max="23" width="28.140625" style="220" hidden="1" customWidth="1"/>
    <col min="24" max="24" width="31.7109375" style="219" customWidth="1"/>
    <col min="25" max="25" width="9.140625" style="220" hidden="1" customWidth="1"/>
    <col min="26" max="26" width="20.7109375" style="221" bestFit="1" customWidth="1"/>
    <col min="27" max="27" width="9.140625" style="221"/>
    <col min="28" max="29" width="25.42578125" style="221" customWidth="1"/>
    <col min="30" max="35" width="1.7109375" style="221" customWidth="1"/>
    <col min="36" max="36" width="9.140625" style="219"/>
    <col min="37" max="37" width="60" style="219" customWidth="1"/>
    <col min="38" max="38" width="9.140625" style="219"/>
    <col min="39" max="39" width="9.140625" style="219" customWidth="1"/>
    <col min="40" max="40" width="104.28515625" style="220" hidden="1" customWidth="1"/>
    <col min="41" max="41" width="23.28515625" style="220" hidden="1" customWidth="1"/>
    <col min="42" max="42" width="20.42578125" style="220" hidden="1" customWidth="1"/>
    <col min="43" max="43" width="30" style="220" hidden="1" customWidth="1"/>
    <col min="44" max="44" width="30.5703125" style="220" hidden="1" customWidth="1"/>
    <col min="45" max="45" width="9.140625" style="219" customWidth="1"/>
    <col min="46" max="52" width="9.140625" style="219"/>
    <col min="53" max="16384" width="9.140625" style="221"/>
  </cols>
  <sheetData>
    <row r="1" spans="1:52" ht="18.75" customHeight="1">
      <c r="A1" s="218" t="s">
        <v>114</v>
      </c>
      <c r="B1" s="219"/>
      <c r="C1" s="219"/>
      <c r="F1" s="219"/>
      <c r="H1" s="219"/>
      <c r="I1" s="219"/>
      <c r="J1" s="219"/>
      <c r="K1" s="219"/>
      <c r="L1" s="219"/>
      <c r="O1" s="219"/>
      <c r="Q1" s="219"/>
      <c r="R1" s="219"/>
      <c r="S1" s="219"/>
      <c r="T1" s="219"/>
      <c r="U1" s="219"/>
      <c r="Z1" s="219"/>
      <c r="AA1" s="219"/>
      <c r="AB1" s="219"/>
      <c r="AC1" s="219"/>
      <c r="AD1" s="219"/>
      <c r="AE1" s="219"/>
      <c r="AF1" s="219"/>
      <c r="AG1" s="219"/>
      <c r="AH1" s="219"/>
      <c r="AI1" s="219"/>
    </row>
    <row r="2" spans="1:52" ht="15" customHeight="1">
      <c r="A2" s="219"/>
      <c r="B2" s="219"/>
      <c r="C2" s="219"/>
      <c r="F2" s="219"/>
      <c r="H2" s="219"/>
      <c r="I2" s="219"/>
      <c r="J2" s="219"/>
      <c r="K2" s="219"/>
      <c r="L2" s="219"/>
      <c r="O2" s="219"/>
      <c r="Q2" s="219"/>
      <c r="R2" s="219"/>
      <c r="S2" s="219"/>
      <c r="T2" s="219"/>
      <c r="U2" s="219"/>
      <c r="Z2" s="219"/>
      <c r="AA2" s="219"/>
      <c r="AB2" s="219"/>
      <c r="AC2" s="219"/>
      <c r="AD2" s="219"/>
      <c r="AE2" s="219"/>
      <c r="AF2" s="219"/>
      <c r="AG2" s="219"/>
      <c r="AH2" s="219"/>
      <c r="AI2" s="219"/>
    </row>
    <row r="3" spans="1:52" ht="15" customHeight="1">
      <c r="A3" s="129" t="s">
        <v>26</v>
      </c>
      <c r="B3" s="219"/>
      <c r="C3" s="219"/>
      <c r="F3" s="219"/>
      <c r="H3" s="219"/>
      <c r="I3" s="219"/>
      <c r="J3" s="129" t="s">
        <v>30</v>
      </c>
      <c r="K3" s="219"/>
      <c r="L3" s="219"/>
      <c r="O3" s="219"/>
      <c r="Q3" s="219"/>
      <c r="R3" s="219"/>
      <c r="S3" s="129" t="s">
        <v>34</v>
      </c>
      <c r="T3" s="219"/>
      <c r="U3" s="219"/>
      <c r="Z3" s="219"/>
      <c r="AA3" s="219"/>
      <c r="AB3" s="129" t="s">
        <v>38</v>
      </c>
      <c r="AD3" s="219"/>
      <c r="AE3" s="219"/>
      <c r="AF3" s="219"/>
      <c r="AG3" s="219"/>
      <c r="AH3" s="219"/>
      <c r="AI3" s="219"/>
      <c r="AK3" s="129" t="s">
        <v>49</v>
      </c>
    </row>
    <row r="4" spans="1:52" s="232" customFormat="1" ht="15" customHeight="1">
      <c r="A4" s="222" t="s">
        <v>115</v>
      </c>
      <c r="B4" s="222" t="s">
        <v>116</v>
      </c>
      <c r="C4" s="222" t="s">
        <v>117</v>
      </c>
      <c r="D4" s="223" t="s">
        <v>118</v>
      </c>
      <c r="E4" s="223" t="s">
        <v>119</v>
      </c>
      <c r="F4" s="222" t="s">
        <v>120</v>
      </c>
      <c r="G4" s="223" t="s">
        <v>121</v>
      </c>
      <c r="H4" s="222" t="s">
        <v>122</v>
      </c>
      <c r="I4" s="219"/>
      <c r="J4" s="224" t="s">
        <v>115</v>
      </c>
      <c r="K4" s="224" t="s">
        <v>116</v>
      </c>
      <c r="L4" s="224" t="s">
        <v>117</v>
      </c>
      <c r="M4" s="223" t="s">
        <v>118</v>
      </c>
      <c r="N4" s="223" t="s">
        <v>119</v>
      </c>
      <c r="O4" s="224" t="s">
        <v>120</v>
      </c>
      <c r="P4" s="223" t="s">
        <v>121</v>
      </c>
      <c r="Q4" s="224" t="s">
        <v>122</v>
      </c>
      <c r="R4" s="142"/>
      <c r="S4" s="225" t="s">
        <v>115</v>
      </c>
      <c r="T4" s="225" t="s">
        <v>123</v>
      </c>
      <c r="U4" s="225" t="s">
        <v>124</v>
      </c>
      <c r="V4" s="223" t="s">
        <v>118</v>
      </c>
      <c r="W4" s="223" t="s">
        <v>119</v>
      </c>
      <c r="X4" s="225" t="s">
        <v>120</v>
      </c>
      <c r="Y4" s="223" t="s">
        <v>121</v>
      </c>
      <c r="Z4" s="225" t="s">
        <v>122</v>
      </c>
      <c r="AA4" s="226"/>
      <c r="AB4" s="318" t="s">
        <v>125</v>
      </c>
      <c r="AC4" s="318"/>
      <c r="AD4" s="317"/>
      <c r="AE4" s="317"/>
      <c r="AF4" s="317"/>
      <c r="AG4" s="317"/>
      <c r="AH4" s="317"/>
      <c r="AI4" s="317"/>
      <c r="AJ4" s="226"/>
      <c r="AK4" s="227" t="s">
        <v>126</v>
      </c>
      <c r="AL4" s="228">
        <f>(SUM('Carbon Costs Calculator'!AO52:AP75)/7)</f>
        <v>9.1428571428571423</v>
      </c>
      <c r="AM4" s="226"/>
      <c r="AN4" s="229" t="s">
        <v>118</v>
      </c>
      <c r="AO4" s="315" t="s">
        <v>127</v>
      </c>
      <c r="AP4" s="316"/>
      <c r="AQ4" s="230" t="s">
        <v>128</v>
      </c>
      <c r="AR4" s="231" t="s">
        <v>129</v>
      </c>
      <c r="AS4" s="226"/>
      <c r="AT4" s="226"/>
      <c r="AU4" s="226"/>
      <c r="AV4" s="226"/>
      <c r="AW4" s="226"/>
      <c r="AX4" s="226"/>
      <c r="AY4" s="226"/>
      <c r="AZ4" s="226"/>
    </row>
    <row r="5" spans="1:52" ht="15" customHeight="1">
      <c r="A5" s="164" t="s">
        <v>130</v>
      </c>
      <c r="B5" s="165" t="s">
        <v>131</v>
      </c>
      <c r="C5" s="165">
        <v>500</v>
      </c>
      <c r="D5" s="233" t="str">
        <f>A5&amp;B5</f>
        <v>Stone Dam&lt;1m (1 unit)</v>
      </c>
      <c r="E5" s="234">
        <f>IFERROR(LOOKUP(D5, GullyGrip_Blocking_Raw_Material_Costs[[LOOKUP]:[Av. kgCO2eq]])+IFERROR(VLOOKUP(D5, Gullygrip_RM_Ceilings[[LOOKUP]:[Av. kgCO2eq]], 2, FALSE)*IF(C5 &gt; VLOOKUP(D5, Gullygrip_RM_Ceilings[], 3, FALSE),CEILING(C5 / VLOOKUP(D5,Gullygrip_RM_Ceilings[], 3, FALSE),1),1),0),0)*C5</f>
        <v>36458.036440000003</v>
      </c>
      <c r="F5" s="165">
        <v>25</v>
      </c>
      <c r="G5" s="234">
        <f>IFERROR(IF(OR(D5="Composite Dam (Plastic)&lt;1m",D5="Composite Dam (Plastic)&gt;1m - &lt;2m",D5="Composite Dam (Plastic)&gt;2m - &lt;3m",D5="Composite Dam (Plastic)&gt;3m - &lt;4m",D5="Composite Dam (Plastic)&gt;4m",D5="Composite Dam (Timber)&lt;1m (2 planks)",D5="Composite Dam (Timber)&gt;1m - &lt;2m (3 planks)",D5="Composite Dam (Timber)&gt;2m - &lt;3m (4 planks)",D5="Heather Bale Dam&lt;1m",D5="Heather Bale Dam&gt;1m - &lt;2m",D5="Heather Bale Dam&gt;2m - &lt;3m",D5="Heather Bale Dam&gt;3m - &lt;4m",D5="Heather Bale Dam&gt;4m",D5="Plastic Piling&lt;1m",D5="Plastic Piling&gt;1m - &lt;2m",D5="Plastic Piling&gt;2m - &lt;3m",D5="Plastic Piling&gt;3m - &lt;4m",D5="Plastic Piling&gt;4m",D5="Stone Dam&lt;1m (1 unit)",D5="Stone Dam&gt;1m - &lt;2m (2 units)",D5="Stone Dam&gt;2m - &lt;3m (3 units)",D5="Stone Dam&gt;3m - &lt;4m (4 units)",D5="Timber Dam&lt;1m (2 planks)",D5="Timber Dam&gt;1m - &lt;2m (3 planks)",D5="Timber Dam&gt;2m - &lt;3m (4 planks)"),CEILING(C5/VLOOKUP(D5, 'GullyGrip Blocking Data'!$D$84:$E$127, 2, FALSE), 1)*F5*VLOOKUP(A5, 'GullyGrip Blocking Data'!$B$84:$C$93, 2, FALSE),0),0)</f>
        <v>691.06949999999995</v>
      </c>
      <c r="H5" s="165" t="s">
        <v>132</v>
      </c>
      <c r="I5" s="235"/>
      <c r="J5" s="165"/>
      <c r="K5" s="165"/>
      <c r="L5" s="165"/>
      <c r="M5" s="233" t="str">
        <f>J5&amp;K5</f>
        <v/>
      </c>
      <c r="N5" s="234">
        <f>IFERROR(LOOKUP(M5, Bunding_Raw_Material_Costs[[LOOKUP]:[Av. kgCO2eq]])+IFERROR(VLOOKUP(M5,Bunding_RM_Ceilings[[LOOKUP]:[Av. kgCO2eq]], 2, FALSE)*IF(L5 &gt; VLOOKUP(M5, Bunding_RM_Ceilings[], 3, FALSE),CEILING(L5 / VLOOKUP(M5, Bunding_RM_Ceilings[], 3, FALSE),1),1),0),0)*L5</f>
        <v>0</v>
      </c>
      <c r="O5" s="165"/>
      <c r="P5" s="234">
        <f>IFERROR(IF(OR(M5="Coir Log&lt;1m",M5="Coir Log&gt;1m - &lt;2m",M5="Coir Log&gt;2m - &lt;3m",M5="Coir Log&gt;3m - &lt;4m",M5="Coir Log&gt;4m",M5="Heather Bale Bund&lt;1m",M5="Heather Bale Bund&gt;1m - &lt;2m",M5="Heather Bale Bund&gt;2m - &lt;3m",M5="Heather Bale Bund&gt;3m - &lt;4m",M5="Heather Bale Bund&gt;4m"),CEILING(L5/VLOOKUP(M5, 'Bunding Data'!$D$98:$E$146, 2, FALSE),1)*O5*VLOOKUP(J5, 'Bunding Data'!$B$98:$C$107, 2, FALSE),0),0)</f>
        <v>0</v>
      </c>
      <c r="Q5" s="165"/>
      <c r="R5" s="236"/>
      <c r="S5" s="165"/>
      <c r="T5" s="165"/>
      <c r="U5" s="165"/>
      <c r="V5" s="233" t="str">
        <f>S5&amp;T5</f>
        <v/>
      </c>
      <c r="W5" s="234">
        <f>IFERROR(LOOKUP(V5, Revegetation_Raw_Material_Costs[[LOOKUP]:[Av. kgCO2eq]])+IFERROR(VLOOKUP(V5,Revegetation_RM_Ceilings[[LOOKUP]:[Av. kgCO2eq]], 2, FALSE)*IF(U5 &gt; VLOOKUP(V5, Revegetation_RM_Ceilings[], 3, FALSE),CEILING(U5 / VLOOKUP(V5, Revegetation_RM_Ceilings[], 3, FALSE),1),1),0),0)*U5</f>
        <v>0</v>
      </c>
      <c r="X5" s="277"/>
      <c r="Y5" s="234">
        <f>IFERROR(IF(OR(V5="Amount - Plug PlantAmount",V5="Area - Brash/Mulch/TransplantHectares",V5="Area - Geojute/GeotextileHectares",V5="Area - Heather BrashHectares",V5="Area - Lime &amp; FertiliserHectares"),CEILING(U5/VLOOKUP(V5, 'Revegetation Data'!$D$59:$E$75, 2, FALSE),1)*X5*VLOOKUP(S5, 'Revegetation Data'!$B$59:$C$75, 2, FALSE),0),0)</f>
        <v>0</v>
      </c>
      <c r="Z5" s="165"/>
      <c r="AA5" s="219"/>
      <c r="AB5" s="318" t="s">
        <v>133</v>
      </c>
      <c r="AC5" s="318"/>
      <c r="AD5" s="317"/>
      <c r="AE5" s="317"/>
      <c r="AF5" s="317"/>
      <c r="AG5" s="317"/>
      <c r="AH5" s="317"/>
      <c r="AI5" s="317"/>
      <c r="AK5" s="208" t="s">
        <v>134</v>
      </c>
      <c r="AL5" s="166"/>
      <c r="AN5" s="237" t="str">
        <f t="shared" ref="AN5:AN14" si="0">D5&amp;H5</f>
        <v>Stone Dam&lt;1m (1 unit)Helicopter - Assisted</v>
      </c>
      <c r="AO5" s="312">
        <f>IFERROR(LOOKUP(AN5,GullyGrip_Blocking_Installation_Costs[[LOOKUP]:[Av. kgCO2eq]]),0)*C5</f>
        <v>29836.800000000003</v>
      </c>
      <c r="AP5" s="312"/>
      <c r="AQ5" s="237">
        <f ca="1">COUNTA(OFFSET('GullyGrip Blocking Data'!$B$20,1,MATCH('Carbon Costs Calculator'!$A5,'GullyGrip Blocking Data'!$B$20:$K$20,0)-1,9))</f>
        <v>4</v>
      </c>
      <c r="AR5" s="238">
        <f ca="1">COUNTA(OFFSET('GullyGrip Blocking Data'!$B$134,1,MATCH('Carbon Costs Calculator'!$A5,'GullyGrip Blocking Data'!$B$134:$K$134,0)-1,7))</f>
        <v>2</v>
      </c>
    </row>
    <row r="6" spans="1:52" ht="15" customHeight="1">
      <c r="A6" s="164"/>
      <c r="B6" s="165"/>
      <c r="C6" s="165"/>
      <c r="D6" s="233" t="str">
        <f t="shared" ref="D6:D14" si="1">A6&amp;B6</f>
        <v/>
      </c>
      <c r="E6" s="234">
        <f>IFERROR(LOOKUP(D6, GullyGrip_Blocking_Raw_Material_Costs[[LOOKUP]:[Av. kgCO2eq]])+IFERROR(VLOOKUP(D6, Gullygrip_RM_Ceilings[[LOOKUP]:[Av. kgCO2eq]], 2, FALSE)*IF(C6 &gt; VLOOKUP(D6, Gullygrip_RM_Ceilings[], 3, FALSE),CEILING(C6 / VLOOKUP(D6,Gullygrip_RM_Ceilings[], 3, FALSE),1),1),0),0)*C6</f>
        <v>0</v>
      </c>
      <c r="F6" s="165"/>
      <c r="G6" s="234">
        <f>IFERROR(IF(OR(D6="Composite Dam (Plastic)&lt;1m",D6="Composite Dam (Plastic)&gt;1m - &lt;2m",D6="Composite Dam (Plastic)&gt;2m - &lt;3m",D6="Composite Dam (Plastic)&gt;3m - &lt;4m",D6="Composite Dam (Plastic)&gt;4m",D6="Composite Dam (Timber)&lt;1m (2 planks)",D6="Composite Dam (Timber)&gt;1m - &lt;2m (3 planks)",D6="Composite Dam (Timber)&gt;2m - &lt;3m (4 planks)",D6="Heather Bale Dam&lt;1m",D6="Heather Bale Dam&gt;1m - &lt;2m",D6="Heather Bale Dam&gt;2m - &lt;3m",D6="Heather Bale Dam&gt;3m - &lt;4m",D6="Heather Bale Dam&gt;4m",D6="Plastic Piling&lt;1m",D6="Plastic Piling&gt;1m - &lt;2m",D6="Plastic Piling&gt;2m - &lt;3m",D6="Plastic Piling&gt;3m - &lt;4m",D6="Plastic Piling&gt;4m",D6="Stone Dam&lt;1m (1 unit)",D6="Stone Dam&gt;1m - &lt;2m (2 units)",D6="Stone Dam&gt;2m - &lt;3m (3 units)",D6="Stone Dam&gt;3m - &lt;4m (4 units)",D6="Timber Dam&lt;1m (2 planks)",D6="Timber Dam&gt;1m - &lt;2m (3 planks)",D6="Timber Dam&gt;2m - &lt;3m (4 planks)"),CEILING(C6/VLOOKUP(D6, 'GullyGrip Blocking Data'!$D$84:$E$127, 2, FALSE), 1)*F6*VLOOKUP(A6, 'GullyGrip Blocking Data'!$B$84:$C$93, 2, FALSE),0),0)</f>
        <v>0</v>
      </c>
      <c r="H6" s="165"/>
      <c r="I6" s="235"/>
      <c r="J6" s="165"/>
      <c r="K6" s="165"/>
      <c r="L6" s="165"/>
      <c r="M6" s="233" t="str">
        <f t="shared" ref="M6:M14" si="2">J6&amp;K6</f>
        <v/>
      </c>
      <c r="N6" s="234">
        <f>IFERROR(LOOKUP(M6, Bunding_Raw_Material_Costs[[LOOKUP]:[Av. kgCO2eq]])+IFERROR(VLOOKUP(M6,Bunding_RM_Ceilings[[LOOKUP]:[Av. kgCO2eq]], 2, FALSE)*IF(L6 &gt; VLOOKUP(M6, Bunding_RM_Ceilings[], 3, FALSE),CEILING(L6 / VLOOKUP(M6, Bunding_RM_Ceilings[], 3, FALSE),1),1),0),0)*L6</f>
        <v>0</v>
      </c>
      <c r="O6" s="165"/>
      <c r="P6" s="234">
        <f>IFERROR(IF(OR(M6="Coir Log&lt;1m",M6="Coir Log&gt;1m - &lt;2m",M6="Coir Log&gt;2m - &lt;3m",M6="Coir Log&gt;3m - &lt;4m",M6="Coir Log&gt;4m",M6="Heather Bale Bund&lt;1m",M6="Heather Bale Bund&gt;1m - &lt;2m",M6="Heather Bale Bund&gt;2m - &lt;3m",M6="Heather Bale Bund&gt;3m - &lt;4m",M6="Heather Bale Bund&gt;4m"),CEILING(L6/VLOOKUP(M6, 'Bunding Data'!$D$98:$E$146, 2, FALSE),1)*O6*VLOOKUP(J6, 'Bunding Data'!$B$98:$C$107, 2, FALSE),0),0)</f>
        <v>0</v>
      </c>
      <c r="Q6" s="165"/>
      <c r="R6" s="236"/>
      <c r="S6" s="165"/>
      <c r="T6" s="165"/>
      <c r="U6" s="165"/>
      <c r="V6" s="233" t="str">
        <f t="shared" ref="V6:V14" si="3">S6&amp;T6</f>
        <v/>
      </c>
      <c r="W6" s="234">
        <f>IFERROR(LOOKUP(V6, Revegetation_Raw_Material_Costs[[LOOKUP]:[Av. kgCO2eq]])+IFERROR(VLOOKUP(V6,Revegetation_RM_Ceilings[[LOOKUP]:[Av. kgCO2eq]], 2, FALSE)*IF(U6 &gt; VLOOKUP(V6, Revegetation_RM_Ceilings[], 3, FALSE),CEILING(U6 / VLOOKUP(V6, Revegetation_RM_Ceilings[], 3, FALSE),1),1),0),0)*U6</f>
        <v>0</v>
      </c>
      <c r="X6" s="277"/>
      <c r="Y6" s="234">
        <f>IFERROR(IF(OR(V6="Amount - Plug PlantAmount",V6="Area - Brash/Mulch/TransplantHectares",V6="Area - Geojute/GeotextileHectares",V6="Area - Heather BrashHectares",V6="Area - Lime &amp; FertiliserHectares"),CEILING(U6/VLOOKUP(V6, 'Revegetation Data'!$D$59:$E$75, 2, FALSE),1)*X6*VLOOKUP(S6, 'Revegetation Data'!$B$59:$C$75, 2, FALSE),0),0)</f>
        <v>0</v>
      </c>
      <c r="Z6" s="165"/>
      <c r="AA6" s="219"/>
      <c r="AB6" s="318" t="s">
        <v>135</v>
      </c>
      <c r="AC6" s="318"/>
      <c r="AD6" s="317"/>
      <c r="AE6" s="317"/>
      <c r="AF6" s="317"/>
      <c r="AG6" s="317"/>
      <c r="AH6" s="317"/>
      <c r="AI6" s="317"/>
      <c r="AK6" s="208" t="s">
        <v>136</v>
      </c>
      <c r="AL6" s="239">
        <f>AL4+AL5</f>
        <v>9.1428571428571423</v>
      </c>
      <c r="AN6" s="237" t="str">
        <f t="shared" si="0"/>
        <v/>
      </c>
      <c r="AO6" s="312">
        <f>IFERROR(LOOKUP(AN6,GullyGrip_Blocking_Installation_Costs[[LOOKUP]:[Av. kgCO2eq]]),0)*C6</f>
        <v>0</v>
      </c>
      <c r="AP6" s="312"/>
      <c r="AQ6" s="237">
        <f ca="1">COUNTA(OFFSET('GullyGrip Blocking Data'!$B$20,1,MATCH('Carbon Costs Calculator'!$A6,'GullyGrip Blocking Data'!$B$20:$K$20,0)-1,9))</f>
        <v>1</v>
      </c>
      <c r="AR6" s="238">
        <f ca="1">COUNTA(OFFSET('GullyGrip Blocking Data'!$B$134,1,MATCH('Carbon Costs Calculator'!$A6,'GullyGrip Blocking Data'!$B$134:$K$134,0)-1,7))</f>
        <v>1</v>
      </c>
    </row>
    <row r="7" spans="1:52" ht="15" customHeight="1">
      <c r="A7" s="164"/>
      <c r="B7" s="165"/>
      <c r="C7" s="165"/>
      <c r="D7" s="233" t="str">
        <f t="shared" si="1"/>
        <v/>
      </c>
      <c r="E7" s="234">
        <f>IFERROR(LOOKUP(D7, GullyGrip_Blocking_Raw_Material_Costs[[LOOKUP]:[Av. kgCO2eq]])+IFERROR(VLOOKUP(D7, Gullygrip_RM_Ceilings[[LOOKUP]:[Av. kgCO2eq]], 2, FALSE)*IF(C7 &gt; VLOOKUP(D7, Gullygrip_RM_Ceilings[], 3, FALSE),CEILING(C7 / VLOOKUP(D7,Gullygrip_RM_Ceilings[], 3, FALSE),1),1),0),0)*C7</f>
        <v>0</v>
      </c>
      <c r="F7" s="165"/>
      <c r="G7" s="234">
        <f>IFERROR(IF(OR(D7="Composite Dam (Plastic)&lt;1m",D7="Composite Dam (Plastic)&gt;1m - &lt;2m",D7="Composite Dam (Plastic)&gt;2m - &lt;3m",D7="Composite Dam (Plastic)&gt;3m - &lt;4m",D7="Composite Dam (Plastic)&gt;4m",D7="Composite Dam (Timber)&lt;1m (2 planks)",D7="Composite Dam (Timber)&gt;1m - &lt;2m (3 planks)",D7="Composite Dam (Timber)&gt;2m - &lt;3m (4 planks)",D7="Heather Bale Dam&lt;1m",D7="Heather Bale Dam&gt;1m - &lt;2m",D7="Heather Bale Dam&gt;2m - &lt;3m",D7="Heather Bale Dam&gt;3m - &lt;4m",D7="Heather Bale Dam&gt;4m",D7="Plastic Piling&lt;1m",D7="Plastic Piling&gt;1m - &lt;2m",D7="Plastic Piling&gt;2m - &lt;3m",D7="Plastic Piling&gt;3m - &lt;4m",D7="Plastic Piling&gt;4m",D7="Stone Dam&lt;1m (1 unit)",D7="Stone Dam&gt;1m - &lt;2m (2 units)",D7="Stone Dam&gt;2m - &lt;3m (3 units)",D7="Stone Dam&gt;3m - &lt;4m (4 units)",D7="Timber Dam&lt;1m (2 planks)",D7="Timber Dam&gt;1m - &lt;2m (3 planks)",D7="Timber Dam&gt;2m - &lt;3m (4 planks)"),CEILING(C7/VLOOKUP(D7, 'GullyGrip Blocking Data'!$D$84:$E$127, 2, FALSE), 1)*F7*VLOOKUP(A7, 'GullyGrip Blocking Data'!$B$84:$C$93, 2, FALSE),0),0)</f>
        <v>0</v>
      </c>
      <c r="H7" s="165"/>
      <c r="I7" s="235"/>
      <c r="J7" s="165"/>
      <c r="K7" s="165"/>
      <c r="L7" s="165"/>
      <c r="M7" s="233" t="str">
        <f t="shared" si="2"/>
        <v/>
      </c>
      <c r="N7" s="234">
        <f>IFERROR(LOOKUP(M7, Bunding_Raw_Material_Costs[[LOOKUP]:[Av. kgCO2eq]])+IFERROR(VLOOKUP(M7,Bunding_RM_Ceilings[[LOOKUP]:[Av. kgCO2eq]], 2, FALSE)*IF(L7 &gt; VLOOKUP(M7, Bunding_RM_Ceilings[], 3, FALSE),CEILING(L7 / VLOOKUP(M7, Bunding_RM_Ceilings[], 3, FALSE),1),1),0),0)*L7</f>
        <v>0</v>
      </c>
      <c r="O7" s="165"/>
      <c r="P7" s="234">
        <f>IFERROR(IF(OR(M7="Coir Log&lt;1m",M7="Coir Log&gt;1m - &lt;2m",M7="Coir Log&gt;2m - &lt;3m",M7="Coir Log&gt;3m - &lt;4m",M7="Coir Log&gt;4m",M7="Heather Bale Bund&lt;1m",M7="Heather Bale Bund&gt;1m - &lt;2m",M7="Heather Bale Bund&gt;2m - &lt;3m",M7="Heather Bale Bund&gt;3m - &lt;4m",M7="Heather Bale Bund&gt;4m"),CEILING(L7/VLOOKUP(M7, 'Bunding Data'!$D$98:$E$146, 2, FALSE),1)*O7*VLOOKUP(J7, 'Bunding Data'!$B$98:$C$107, 2, FALSE),0),0)</f>
        <v>0</v>
      </c>
      <c r="Q7" s="165"/>
      <c r="R7" s="236"/>
      <c r="S7" s="165"/>
      <c r="T7" s="165"/>
      <c r="U7" s="165"/>
      <c r="V7" s="233" t="str">
        <f t="shared" si="3"/>
        <v/>
      </c>
      <c r="W7" s="234">
        <f>IFERROR(LOOKUP(V7, Revegetation_Raw_Material_Costs[[LOOKUP]:[Av. kgCO2eq]])+IFERROR(VLOOKUP(V7,Revegetation_RM_Ceilings[[LOOKUP]:[Av. kgCO2eq]], 2, FALSE)*IF(U7 &gt; VLOOKUP(V7, Revegetation_RM_Ceilings[], 3, FALSE),CEILING(U7 / VLOOKUP(V7, Revegetation_RM_Ceilings[], 3, FALSE),1),1),0),0)*U7</f>
        <v>0</v>
      </c>
      <c r="X7" s="277"/>
      <c r="Y7" s="234">
        <f>IFERROR(IF(OR(V7="Amount - Plug PlantAmount",V7="Area - Brash/Mulch/TransplantHectares",V7="Area - Geojute/GeotextileHectares",V7="Area - Heather BrashHectares",V7="Area - Lime &amp; FertiliserHectares"),CEILING(U7/VLOOKUP(V7, 'Revegetation Data'!$D$59:$E$75, 2, FALSE),1)*X7*VLOOKUP(S7, 'Revegetation Data'!$B$59:$C$75, 2, FALSE),0),0)</f>
        <v>0</v>
      </c>
      <c r="Z7" s="165"/>
      <c r="AA7" s="219"/>
      <c r="AB7" s="318" t="s">
        <v>137</v>
      </c>
      <c r="AC7" s="318"/>
      <c r="AD7" s="317"/>
      <c r="AE7" s="317"/>
      <c r="AF7" s="317"/>
      <c r="AG7" s="317"/>
      <c r="AH7" s="317"/>
      <c r="AI7" s="317"/>
      <c r="AN7" s="237" t="str">
        <f t="shared" si="0"/>
        <v/>
      </c>
      <c r="AO7" s="312">
        <f>IFERROR(LOOKUP(AN7,GullyGrip_Blocking_Installation_Costs[[LOOKUP]:[Av. kgCO2eq]]),0)*C7</f>
        <v>0</v>
      </c>
      <c r="AP7" s="312"/>
      <c r="AQ7" s="237">
        <f ca="1">COUNTA(OFFSET('GullyGrip Blocking Data'!$B$20,1,MATCH('Carbon Costs Calculator'!$A7,'GullyGrip Blocking Data'!$B$20:$K$20,0)-1,9))</f>
        <v>1</v>
      </c>
      <c r="AR7" s="238">
        <f ca="1">COUNTA(OFFSET('GullyGrip Blocking Data'!$B$134,1,MATCH('Carbon Costs Calculator'!$A7,'GullyGrip Blocking Data'!$B$134:$K$134,0)-1,7))</f>
        <v>1</v>
      </c>
    </row>
    <row r="8" spans="1:52" ht="15" customHeight="1">
      <c r="A8" s="164"/>
      <c r="B8" s="165"/>
      <c r="C8" s="165"/>
      <c r="D8" s="233" t="str">
        <f t="shared" si="1"/>
        <v/>
      </c>
      <c r="E8" s="234">
        <f>IFERROR(LOOKUP(D8, GullyGrip_Blocking_Raw_Material_Costs[[LOOKUP]:[Av. kgCO2eq]])+IFERROR(VLOOKUP(D8, Gullygrip_RM_Ceilings[[LOOKUP]:[Av. kgCO2eq]], 2, FALSE)*IF(C8 &gt; VLOOKUP(D8, Gullygrip_RM_Ceilings[], 3, FALSE),CEILING(C8 / VLOOKUP(D8,Gullygrip_RM_Ceilings[], 3, FALSE),1),1),0),0)*C8</f>
        <v>0</v>
      </c>
      <c r="F8" s="165"/>
      <c r="G8" s="234">
        <f>IFERROR(IF(OR(D8="Composite Dam (Plastic)&lt;1m",D8="Composite Dam (Plastic)&gt;1m - &lt;2m",D8="Composite Dam (Plastic)&gt;2m - &lt;3m",D8="Composite Dam (Plastic)&gt;3m - &lt;4m",D8="Composite Dam (Plastic)&gt;4m",D8="Composite Dam (Timber)&lt;1m (2 planks)",D8="Composite Dam (Timber)&gt;1m - &lt;2m (3 planks)",D8="Composite Dam (Timber)&gt;2m - &lt;3m (4 planks)",D8="Heather Bale Dam&lt;1m",D8="Heather Bale Dam&gt;1m - &lt;2m",D8="Heather Bale Dam&gt;2m - &lt;3m",D8="Heather Bale Dam&gt;3m - &lt;4m",D8="Heather Bale Dam&gt;4m",D8="Plastic Piling&lt;1m",D8="Plastic Piling&gt;1m - &lt;2m",D8="Plastic Piling&gt;2m - &lt;3m",D8="Plastic Piling&gt;3m - &lt;4m",D8="Plastic Piling&gt;4m",D8="Stone Dam&lt;1m (1 unit)",D8="Stone Dam&gt;1m - &lt;2m (2 units)",D8="Stone Dam&gt;2m - &lt;3m (3 units)",D8="Stone Dam&gt;3m - &lt;4m (4 units)",D8="Timber Dam&lt;1m (2 planks)",D8="Timber Dam&gt;1m - &lt;2m (3 planks)",D8="Timber Dam&gt;2m - &lt;3m (4 planks)"),CEILING(C8/VLOOKUP(D8, 'GullyGrip Blocking Data'!$D$84:$E$127, 2, FALSE), 1)*F8*VLOOKUP(A8, 'GullyGrip Blocking Data'!$B$84:$C$93, 2, FALSE),0),0)</f>
        <v>0</v>
      </c>
      <c r="H8" s="165"/>
      <c r="I8" s="235"/>
      <c r="J8" s="165"/>
      <c r="K8" s="165"/>
      <c r="L8" s="165"/>
      <c r="M8" s="233" t="str">
        <f t="shared" si="2"/>
        <v/>
      </c>
      <c r="N8" s="234">
        <f>IFERROR(LOOKUP(M8, Bunding_Raw_Material_Costs[[LOOKUP]:[Av. kgCO2eq]])+IFERROR(VLOOKUP(M8,Bunding_RM_Ceilings[[LOOKUP]:[Av. kgCO2eq]], 2, FALSE)*IF(L8 &gt; VLOOKUP(M8, Bunding_RM_Ceilings[], 3, FALSE),CEILING(L8 / VLOOKUP(M8, Bunding_RM_Ceilings[], 3, FALSE),1),1),0),0)*L8</f>
        <v>0</v>
      </c>
      <c r="O8" s="165"/>
      <c r="P8" s="234">
        <f>IFERROR(IF(OR(M8="Coir Log&lt;1m",M8="Coir Log&gt;1m - &lt;2m",M8="Coir Log&gt;2m - &lt;3m",M8="Coir Log&gt;3m - &lt;4m",M8="Coir Log&gt;4m",M8="Heather Bale Bund&lt;1m",M8="Heather Bale Bund&gt;1m - &lt;2m",M8="Heather Bale Bund&gt;2m - &lt;3m",M8="Heather Bale Bund&gt;3m - &lt;4m",M8="Heather Bale Bund&gt;4m"),CEILING(L8/VLOOKUP(M8, 'Bunding Data'!$D$98:$E$146, 2, FALSE),1)*O8*VLOOKUP(J8, 'Bunding Data'!$B$98:$C$107, 2, FALSE),0),0)</f>
        <v>0</v>
      </c>
      <c r="Q8" s="165"/>
      <c r="R8" s="236"/>
      <c r="S8" s="165"/>
      <c r="T8" s="165"/>
      <c r="U8" s="165"/>
      <c r="V8" s="233" t="str">
        <f t="shared" si="3"/>
        <v/>
      </c>
      <c r="W8" s="234">
        <f>IFERROR(LOOKUP(V8, Revegetation_Raw_Material_Costs[[LOOKUP]:[Av. kgCO2eq]])+IFERROR(VLOOKUP(V8,Revegetation_RM_Ceilings[[LOOKUP]:[Av. kgCO2eq]], 2, FALSE)*IF(U8 &gt; VLOOKUP(V8, Revegetation_RM_Ceilings[], 3, FALSE),CEILING(U8 / VLOOKUP(V8, Revegetation_RM_Ceilings[], 3, FALSE),1),1),0),0)*U8</f>
        <v>0</v>
      </c>
      <c r="X8" s="277"/>
      <c r="Y8" s="234">
        <f>IFERROR(IF(OR(V8="Amount - Plug PlantAmount",V8="Area - Brash/Mulch/TransplantHectares",V8="Area - Geojute/GeotextileHectares",V8="Area - Heather BrashHectares",V8="Area - Lime &amp; FertiliserHectares"),CEILING(U8/VLOOKUP(V8, 'Revegetation Data'!$D$59:$E$75, 2, FALSE),1)*X8*VLOOKUP(S8, 'Revegetation Data'!$B$59:$C$75, 2, FALSE),0),0)</f>
        <v>0</v>
      </c>
      <c r="Z8" s="165"/>
      <c r="AA8" s="219"/>
      <c r="AB8" s="318" t="s">
        <v>138</v>
      </c>
      <c r="AC8" s="318"/>
      <c r="AD8" s="317"/>
      <c r="AE8" s="317"/>
      <c r="AF8" s="317"/>
      <c r="AG8" s="317"/>
      <c r="AH8" s="317"/>
      <c r="AI8" s="317"/>
      <c r="AN8" s="237" t="str">
        <f t="shared" si="0"/>
        <v/>
      </c>
      <c r="AO8" s="312">
        <f>IFERROR(LOOKUP(AN8,GullyGrip_Blocking_Installation_Costs[[LOOKUP]:[Av. kgCO2eq]]),0)*C8</f>
        <v>0</v>
      </c>
      <c r="AP8" s="312"/>
      <c r="AQ8" s="237">
        <f ca="1">COUNTA(OFFSET('GullyGrip Blocking Data'!$B$20,1,MATCH('Carbon Costs Calculator'!$A8,'GullyGrip Blocking Data'!$B$20:$K$20,0)-1,9))</f>
        <v>1</v>
      </c>
      <c r="AR8" s="238">
        <f ca="1">COUNTA(OFFSET('GullyGrip Blocking Data'!$B$134,1,MATCH('Carbon Costs Calculator'!$A8,'GullyGrip Blocking Data'!$B$134:$K$134,0)-1,7))</f>
        <v>1</v>
      </c>
    </row>
    <row r="9" spans="1:52" ht="15" customHeight="1">
      <c r="A9" s="164"/>
      <c r="B9" s="165"/>
      <c r="C9" s="165"/>
      <c r="D9" s="233" t="str">
        <f t="shared" si="1"/>
        <v/>
      </c>
      <c r="E9" s="234">
        <f>IFERROR(LOOKUP(D9, GullyGrip_Blocking_Raw_Material_Costs[[LOOKUP]:[Av. kgCO2eq]])+IFERROR(VLOOKUP(D9, Gullygrip_RM_Ceilings[[LOOKUP]:[Av. kgCO2eq]], 2, FALSE)*IF(C9 &gt; VLOOKUP(D9, Gullygrip_RM_Ceilings[], 3, FALSE),CEILING(C9 / VLOOKUP(D9,Gullygrip_RM_Ceilings[], 3, FALSE),1),1),0),0)*C9</f>
        <v>0</v>
      </c>
      <c r="F9" s="165"/>
      <c r="G9" s="234">
        <f>IFERROR(IF(OR(D9="Composite Dam (Plastic)&lt;1m",D9="Composite Dam (Plastic)&gt;1m - &lt;2m",D9="Composite Dam (Plastic)&gt;2m - &lt;3m",D9="Composite Dam (Plastic)&gt;3m - &lt;4m",D9="Composite Dam (Plastic)&gt;4m",D9="Composite Dam (Timber)&lt;1m (2 planks)",D9="Composite Dam (Timber)&gt;1m - &lt;2m (3 planks)",D9="Composite Dam (Timber)&gt;2m - &lt;3m (4 planks)",D9="Heather Bale Dam&lt;1m",D9="Heather Bale Dam&gt;1m - &lt;2m",D9="Heather Bale Dam&gt;2m - &lt;3m",D9="Heather Bale Dam&gt;3m - &lt;4m",D9="Heather Bale Dam&gt;4m",D9="Plastic Piling&lt;1m",D9="Plastic Piling&gt;1m - &lt;2m",D9="Plastic Piling&gt;2m - &lt;3m",D9="Plastic Piling&gt;3m - &lt;4m",D9="Plastic Piling&gt;4m",D9="Stone Dam&lt;1m (1 unit)",D9="Stone Dam&gt;1m - &lt;2m (2 units)",D9="Stone Dam&gt;2m - &lt;3m (3 units)",D9="Stone Dam&gt;3m - &lt;4m (4 units)",D9="Timber Dam&lt;1m (2 planks)",D9="Timber Dam&gt;1m - &lt;2m (3 planks)",D9="Timber Dam&gt;2m - &lt;3m (4 planks)"),CEILING(C9/VLOOKUP(D9, 'GullyGrip Blocking Data'!$D$84:$E$127, 2, FALSE), 1)*F9*VLOOKUP(A9, 'GullyGrip Blocking Data'!$B$84:$C$93, 2, FALSE),0),0)</f>
        <v>0</v>
      </c>
      <c r="H9" s="165"/>
      <c r="I9" s="235"/>
      <c r="J9" s="165"/>
      <c r="K9" s="165"/>
      <c r="L9" s="165"/>
      <c r="M9" s="233" t="str">
        <f t="shared" si="2"/>
        <v/>
      </c>
      <c r="N9" s="234">
        <f>IFERROR(LOOKUP(M9, Bunding_Raw_Material_Costs[[LOOKUP]:[Av. kgCO2eq]])+IFERROR(VLOOKUP(M9,Bunding_RM_Ceilings[[LOOKUP]:[Av. kgCO2eq]], 2, FALSE)*IF(L9 &gt; VLOOKUP(M9, Bunding_RM_Ceilings[], 3, FALSE),CEILING(L9 / VLOOKUP(M9, Bunding_RM_Ceilings[], 3, FALSE),1),1),0),0)*L9</f>
        <v>0</v>
      </c>
      <c r="O9" s="165"/>
      <c r="P9" s="234">
        <f>IFERROR(IF(OR(M9="Coir Log&lt;1m",M9="Coir Log&gt;1m - &lt;2m",M9="Coir Log&gt;2m - &lt;3m",M9="Coir Log&gt;3m - &lt;4m",M9="Coir Log&gt;4m",M9="Heather Bale Bund&lt;1m",M9="Heather Bale Bund&gt;1m - &lt;2m",M9="Heather Bale Bund&gt;2m - &lt;3m",M9="Heather Bale Bund&gt;3m - &lt;4m",M9="Heather Bale Bund&gt;4m"),CEILING(L9/VLOOKUP(M9, 'Bunding Data'!$D$98:$E$146, 2, FALSE),1)*O9*VLOOKUP(J9, 'Bunding Data'!$B$98:$C$107, 2, FALSE),0),0)</f>
        <v>0</v>
      </c>
      <c r="Q9" s="165"/>
      <c r="R9" s="236"/>
      <c r="S9" s="165"/>
      <c r="T9" s="165"/>
      <c r="U9" s="165"/>
      <c r="V9" s="233" t="str">
        <f t="shared" si="3"/>
        <v/>
      </c>
      <c r="W9" s="234">
        <f>IFERROR(LOOKUP(V9, Revegetation_Raw_Material_Costs[[LOOKUP]:[Av. kgCO2eq]])+IFERROR(VLOOKUP(V9,Revegetation_RM_Ceilings[[LOOKUP]:[Av. kgCO2eq]], 2, FALSE)*IF(U9 &gt; VLOOKUP(V9, Revegetation_RM_Ceilings[], 3, FALSE),CEILING(U9 / VLOOKUP(V9, Revegetation_RM_Ceilings[], 3, FALSE),1),1),0),0)*U9</f>
        <v>0</v>
      </c>
      <c r="X9" s="277"/>
      <c r="Y9" s="234">
        <f>IFERROR(IF(OR(V9="Amount - Plug PlantAmount",V9="Area - Brash/Mulch/TransplantHectares",V9="Area - Geojute/GeotextileHectares",V9="Area - Heather BrashHectares",V9="Area - Lime &amp; FertiliserHectares"),CEILING(U9/VLOOKUP(V9, 'Revegetation Data'!$D$59:$E$75, 2, FALSE),1)*X9*VLOOKUP(S9, 'Revegetation Data'!$B$59:$C$75, 2, FALSE),0),0)</f>
        <v>0</v>
      </c>
      <c r="Z9" s="165"/>
      <c r="AA9" s="219"/>
      <c r="AB9" s="318" t="s">
        <v>139</v>
      </c>
      <c r="AC9" s="318"/>
      <c r="AD9" s="317"/>
      <c r="AE9" s="317"/>
      <c r="AF9" s="317"/>
      <c r="AG9" s="317"/>
      <c r="AH9" s="317"/>
      <c r="AI9" s="317"/>
      <c r="AN9" s="237" t="str">
        <f t="shared" si="0"/>
        <v/>
      </c>
      <c r="AO9" s="312">
        <f>IFERROR(LOOKUP(AN9,GullyGrip_Blocking_Installation_Costs[[LOOKUP]:[Av. kgCO2eq]]),0)*C9</f>
        <v>0</v>
      </c>
      <c r="AP9" s="312"/>
      <c r="AQ9" s="237">
        <f ca="1">COUNTA(OFFSET('GullyGrip Blocking Data'!$B$20,1,MATCH('Carbon Costs Calculator'!$A9,'GullyGrip Blocking Data'!$B$20:$K$20,0)-1,9))</f>
        <v>1</v>
      </c>
      <c r="AR9" s="238">
        <f ca="1">COUNTA(OFFSET('GullyGrip Blocking Data'!$B$134,1,MATCH('Carbon Costs Calculator'!$A9,'GullyGrip Blocking Data'!$B$134:$K$134,0)-1,7))</f>
        <v>1</v>
      </c>
    </row>
    <row r="10" spans="1:52" ht="15" customHeight="1">
      <c r="A10" s="164"/>
      <c r="B10" s="165"/>
      <c r="C10" s="165"/>
      <c r="D10" s="233" t="str">
        <f t="shared" si="1"/>
        <v/>
      </c>
      <c r="E10" s="234">
        <f>IFERROR(LOOKUP(D10, GullyGrip_Blocking_Raw_Material_Costs[[LOOKUP]:[Av. kgCO2eq]])+IFERROR(VLOOKUP(D10, Gullygrip_RM_Ceilings[[LOOKUP]:[Av. kgCO2eq]], 2, FALSE)*IF(C10 &gt; VLOOKUP(D10, Gullygrip_RM_Ceilings[], 3, FALSE),CEILING(C10 / VLOOKUP(D10,Gullygrip_RM_Ceilings[], 3, FALSE),1),1),0),0)*C10</f>
        <v>0</v>
      </c>
      <c r="F10" s="165"/>
      <c r="G10" s="234">
        <f>IFERROR(IF(OR(D10="Composite Dam (Plastic)&lt;1m",D10="Composite Dam (Plastic)&gt;1m - &lt;2m",D10="Composite Dam (Plastic)&gt;2m - &lt;3m",D10="Composite Dam (Plastic)&gt;3m - &lt;4m",D10="Composite Dam (Plastic)&gt;4m",D10="Composite Dam (Timber)&lt;1m (2 planks)",D10="Composite Dam (Timber)&gt;1m - &lt;2m (3 planks)",D10="Composite Dam (Timber)&gt;2m - &lt;3m (4 planks)",D10="Heather Bale Dam&lt;1m",D10="Heather Bale Dam&gt;1m - &lt;2m",D10="Heather Bale Dam&gt;2m - &lt;3m",D10="Heather Bale Dam&gt;3m - &lt;4m",D10="Heather Bale Dam&gt;4m",D10="Plastic Piling&lt;1m",D10="Plastic Piling&gt;1m - &lt;2m",D10="Plastic Piling&gt;2m - &lt;3m",D10="Plastic Piling&gt;3m - &lt;4m",D10="Plastic Piling&gt;4m",D10="Stone Dam&lt;1m (1 unit)",D10="Stone Dam&gt;1m - &lt;2m (2 units)",D10="Stone Dam&gt;2m - &lt;3m (3 units)",D10="Stone Dam&gt;3m - &lt;4m (4 units)",D10="Timber Dam&lt;1m (2 planks)",D10="Timber Dam&gt;1m - &lt;2m (3 planks)",D10="Timber Dam&gt;2m - &lt;3m (4 planks)"),CEILING(C10/VLOOKUP(D10, 'GullyGrip Blocking Data'!$D$84:$E$127, 2, FALSE), 1)*F10*VLOOKUP(A10, 'GullyGrip Blocking Data'!$B$84:$C$93, 2, FALSE),0),0)</f>
        <v>0</v>
      </c>
      <c r="H10" s="165"/>
      <c r="I10" s="235"/>
      <c r="J10" s="165"/>
      <c r="K10" s="165"/>
      <c r="L10" s="165"/>
      <c r="M10" s="233" t="str">
        <f t="shared" si="2"/>
        <v/>
      </c>
      <c r="N10" s="234">
        <f>IFERROR(LOOKUP(M10, Bunding_Raw_Material_Costs[[LOOKUP]:[Av. kgCO2eq]])+IFERROR(VLOOKUP(M10,Bunding_RM_Ceilings[[LOOKUP]:[Av. kgCO2eq]], 2, FALSE)*IF(L10 &gt; VLOOKUP(M10, Bunding_RM_Ceilings[], 3, FALSE),CEILING(L10 / VLOOKUP(M10, Bunding_RM_Ceilings[], 3, FALSE),1),1),0),0)*L10</f>
        <v>0</v>
      </c>
      <c r="O10" s="165"/>
      <c r="P10" s="234">
        <f>IFERROR(IF(OR(M10="Coir Log&lt;1m",M10="Coir Log&gt;1m - &lt;2m",M10="Coir Log&gt;2m - &lt;3m",M10="Coir Log&gt;3m - &lt;4m",M10="Coir Log&gt;4m",M10="Heather Bale Bund&lt;1m",M10="Heather Bale Bund&gt;1m - &lt;2m",M10="Heather Bale Bund&gt;2m - &lt;3m",M10="Heather Bale Bund&gt;3m - &lt;4m",M10="Heather Bale Bund&gt;4m"),CEILING(L10/VLOOKUP(M10, 'Bunding Data'!$D$98:$E$146, 2, FALSE),1)*O10*VLOOKUP(J10, 'Bunding Data'!$B$98:$C$107, 2, FALSE),0),0)</f>
        <v>0</v>
      </c>
      <c r="Q10" s="165"/>
      <c r="R10" s="236"/>
      <c r="S10" s="165"/>
      <c r="T10" s="165"/>
      <c r="U10" s="165"/>
      <c r="V10" s="233" t="str">
        <f t="shared" si="3"/>
        <v/>
      </c>
      <c r="W10" s="234">
        <f>IFERROR(LOOKUP(V10, Revegetation_Raw_Material_Costs[[LOOKUP]:[Av. kgCO2eq]])+IFERROR(VLOOKUP(V10,Revegetation_RM_Ceilings[[LOOKUP]:[Av. kgCO2eq]], 2, FALSE)*IF(U10 &gt; VLOOKUP(V10, Revegetation_RM_Ceilings[], 3, FALSE),CEILING(U10 / VLOOKUP(V10, Revegetation_RM_Ceilings[], 3, FALSE),1),1),0),0)*U10</f>
        <v>0</v>
      </c>
      <c r="X10" s="277"/>
      <c r="Y10" s="234">
        <f>IFERROR(IF(OR(V10="Amount - Plug PlantAmount",V10="Area - Brash/Mulch/TransplantHectares",V10="Area - Geojute/GeotextileHectares",V10="Area - Heather BrashHectares",V10="Area - Lime &amp; FertiliserHectares"),CEILING(U10/VLOOKUP(V10, 'Revegetation Data'!$D$59:$E$75, 2, FALSE),1)*X10*VLOOKUP(S10, 'Revegetation Data'!$B$59:$C$75, 2, FALSE),0),0)</f>
        <v>0</v>
      </c>
      <c r="Z10" s="165"/>
      <c r="AA10" s="219"/>
      <c r="AB10" s="318" t="s">
        <v>140</v>
      </c>
      <c r="AC10" s="318"/>
      <c r="AD10" s="317"/>
      <c r="AE10" s="317"/>
      <c r="AF10" s="317"/>
      <c r="AG10" s="317"/>
      <c r="AH10" s="317"/>
      <c r="AI10" s="317"/>
      <c r="AN10" s="237" t="str">
        <f t="shared" si="0"/>
        <v/>
      </c>
      <c r="AO10" s="312">
        <f>IFERROR(LOOKUP(AN10,GullyGrip_Blocking_Installation_Costs[[LOOKUP]:[Av. kgCO2eq]]),0)*C10</f>
        <v>0</v>
      </c>
      <c r="AP10" s="312"/>
      <c r="AQ10" s="237">
        <f ca="1">COUNTA(OFFSET('GullyGrip Blocking Data'!$B$20,1,MATCH('Carbon Costs Calculator'!$A10,'GullyGrip Blocking Data'!$B$20:$K$20,0)-1,9))</f>
        <v>1</v>
      </c>
      <c r="AR10" s="238">
        <f ca="1">COUNTA(OFFSET('GullyGrip Blocking Data'!$B$134,1,MATCH('Carbon Costs Calculator'!$A10,'GullyGrip Blocking Data'!$B$134:$K$134,0)-1,7))</f>
        <v>1</v>
      </c>
    </row>
    <row r="11" spans="1:52" ht="15" customHeight="1">
      <c r="A11" s="164"/>
      <c r="B11" s="165"/>
      <c r="C11" s="165"/>
      <c r="D11" s="233" t="str">
        <f t="shared" si="1"/>
        <v/>
      </c>
      <c r="E11" s="234">
        <f>IFERROR(LOOKUP(D11, GullyGrip_Blocking_Raw_Material_Costs[[LOOKUP]:[Av. kgCO2eq]])+IFERROR(VLOOKUP(D11, Gullygrip_RM_Ceilings[[LOOKUP]:[Av. kgCO2eq]], 2, FALSE)*IF(C11 &gt; VLOOKUP(D11, Gullygrip_RM_Ceilings[], 3, FALSE),CEILING(C11 / VLOOKUP(D11,Gullygrip_RM_Ceilings[], 3, FALSE),1),1),0),0)*C11</f>
        <v>0</v>
      </c>
      <c r="F11" s="165"/>
      <c r="G11" s="234">
        <f>IFERROR(IF(OR(D11="Composite Dam (Plastic)&lt;1m",D11="Composite Dam (Plastic)&gt;1m - &lt;2m",D11="Composite Dam (Plastic)&gt;2m - &lt;3m",D11="Composite Dam (Plastic)&gt;3m - &lt;4m",D11="Composite Dam (Plastic)&gt;4m",D11="Composite Dam (Timber)&lt;1m (2 planks)",D11="Composite Dam (Timber)&gt;1m - &lt;2m (3 planks)",D11="Composite Dam (Timber)&gt;2m - &lt;3m (4 planks)",D11="Heather Bale Dam&lt;1m",D11="Heather Bale Dam&gt;1m - &lt;2m",D11="Heather Bale Dam&gt;2m - &lt;3m",D11="Heather Bale Dam&gt;3m - &lt;4m",D11="Heather Bale Dam&gt;4m",D11="Plastic Piling&lt;1m",D11="Plastic Piling&gt;1m - &lt;2m",D11="Plastic Piling&gt;2m - &lt;3m",D11="Plastic Piling&gt;3m - &lt;4m",D11="Plastic Piling&gt;4m",D11="Stone Dam&lt;1m (1 unit)",D11="Stone Dam&gt;1m - &lt;2m (2 units)",D11="Stone Dam&gt;2m - &lt;3m (3 units)",D11="Stone Dam&gt;3m - &lt;4m (4 units)",D11="Timber Dam&lt;1m (2 planks)",D11="Timber Dam&gt;1m - &lt;2m (3 planks)",D11="Timber Dam&gt;2m - &lt;3m (4 planks)"),CEILING(C11/VLOOKUP(D11, 'GullyGrip Blocking Data'!$D$84:$E$127, 2, FALSE), 1)*F11*VLOOKUP(A11, 'GullyGrip Blocking Data'!$B$84:$C$93, 2, FALSE),0),0)</f>
        <v>0</v>
      </c>
      <c r="H11" s="165"/>
      <c r="I11" s="235"/>
      <c r="J11" s="165"/>
      <c r="K11" s="165"/>
      <c r="L11" s="165"/>
      <c r="M11" s="233" t="str">
        <f t="shared" si="2"/>
        <v/>
      </c>
      <c r="N11" s="234">
        <f>IFERROR(LOOKUP(M11, Bunding_Raw_Material_Costs[[LOOKUP]:[Av. kgCO2eq]])+IFERROR(VLOOKUP(M11,Bunding_RM_Ceilings[[LOOKUP]:[Av. kgCO2eq]], 2, FALSE)*IF(L11 &gt; VLOOKUP(M11, Bunding_RM_Ceilings[], 3, FALSE),CEILING(L11 / VLOOKUP(M11, Bunding_RM_Ceilings[], 3, FALSE),1),1),0),0)*L11</f>
        <v>0</v>
      </c>
      <c r="O11" s="165"/>
      <c r="P11" s="234">
        <f>IFERROR(IF(OR(M11="Coir Log&lt;1m",M11="Coir Log&gt;1m - &lt;2m",M11="Coir Log&gt;2m - &lt;3m",M11="Coir Log&gt;3m - &lt;4m",M11="Coir Log&gt;4m",M11="Heather Bale Bund&lt;1m",M11="Heather Bale Bund&gt;1m - &lt;2m",M11="Heather Bale Bund&gt;2m - &lt;3m",M11="Heather Bale Bund&gt;3m - &lt;4m",M11="Heather Bale Bund&gt;4m"),CEILING(L11/VLOOKUP(M11, 'Bunding Data'!$D$98:$E$146, 2, FALSE),1)*O11*VLOOKUP(J11, 'Bunding Data'!$B$98:$C$107, 2, FALSE),0),0)</f>
        <v>0</v>
      </c>
      <c r="Q11" s="165"/>
      <c r="R11" s="236"/>
      <c r="S11" s="165"/>
      <c r="T11" s="165"/>
      <c r="U11" s="165"/>
      <c r="V11" s="233" t="str">
        <f t="shared" si="3"/>
        <v/>
      </c>
      <c r="W11" s="234">
        <f>IFERROR(LOOKUP(V11, Revegetation_Raw_Material_Costs[[LOOKUP]:[Av. kgCO2eq]])+IFERROR(VLOOKUP(V11,Revegetation_RM_Ceilings[[LOOKUP]:[Av. kgCO2eq]], 2, FALSE)*IF(U11 &gt; VLOOKUP(V11, Revegetation_RM_Ceilings[], 3, FALSE),CEILING(U11 / VLOOKUP(V11, Revegetation_RM_Ceilings[], 3, FALSE),1),1),0),0)*U11</f>
        <v>0</v>
      </c>
      <c r="X11" s="277"/>
      <c r="Y11" s="234">
        <f>IFERROR(IF(OR(V11="Amount - Plug PlantAmount",V11="Area - Brash/Mulch/TransplantHectares",V11="Area - Geojute/GeotextileHectares",V11="Area - Heather BrashHectares",V11="Area - Lime &amp; FertiliserHectares"),CEILING(U11/VLOOKUP(V11, 'Revegetation Data'!$D$59:$E$75, 2, FALSE),1)*X11*VLOOKUP(S11, 'Revegetation Data'!$B$59:$C$75, 2, FALSE),0),0)</f>
        <v>0</v>
      </c>
      <c r="Z11" s="165"/>
      <c r="AA11" s="219"/>
      <c r="AB11" s="318" t="s">
        <v>141</v>
      </c>
      <c r="AC11" s="318"/>
      <c r="AD11" s="317"/>
      <c r="AE11" s="317"/>
      <c r="AF11" s="317"/>
      <c r="AG11" s="317"/>
      <c r="AH11" s="317"/>
      <c r="AI11" s="317"/>
      <c r="AN11" s="237" t="str">
        <f t="shared" si="0"/>
        <v/>
      </c>
      <c r="AO11" s="312">
        <f>IFERROR(LOOKUP(AN11,GullyGrip_Blocking_Installation_Costs[[LOOKUP]:[Av. kgCO2eq]]),0)*C11</f>
        <v>0</v>
      </c>
      <c r="AP11" s="312"/>
      <c r="AQ11" s="237">
        <f ca="1">COUNTA(OFFSET('GullyGrip Blocking Data'!$B$20,1,MATCH('Carbon Costs Calculator'!$A11,'GullyGrip Blocking Data'!$B$20:$K$20,0)-1,9))</f>
        <v>1</v>
      </c>
      <c r="AR11" s="238">
        <f ca="1">COUNTA(OFFSET('GullyGrip Blocking Data'!$B$134,1,MATCH('Carbon Costs Calculator'!$A11,'GullyGrip Blocking Data'!$B$134:$K$134,0)-1,7))</f>
        <v>1</v>
      </c>
    </row>
    <row r="12" spans="1:52" ht="15" customHeight="1">
      <c r="A12" s="164"/>
      <c r="B12" s="165"/>
      <c r="C12" s="165"/>
      <c r="D12" s="233" t="str">
        <f t="shared" si="1"/>
        <v/>
      </c>
      <c r="E12" s="234">
        <f>IFERROR(LOOKUP(D12, GullyGrip_Blocking_Raw_Material_Costs[[LOOKUP]:[Av. kgCO2eq]])+IFERROR(VLOOKUP(D12, Gullygrip_RM_Ceilings[[LOOKUP]:[Av. kgCO2eq]], 2, FALSE)*IF(C12 &gt; VLOOKUP(D12, Gullygrip_RM_Ceilings[], 3, FALSE),CEILING(C12 / VLOOKUP(D12,Gullygrip_RM_Ceilings[], 3, FALSE),1),1),0),0)*C12</f>
        <v>0</v>
      </c>
      <c r="F12" s="165"/>
      <c r="G12" s="234">
        <f>IFERROR(IF(OR(D12="Composite Dam (Plastic)&lt;1m",D12="Composite Dam (Plastic)&gt;1m - &lt;2m",D12="Composite Dam (Plastic)&gt;2m - &lt;3m",D12="Composite Dam (Plastic)&gt;3m - &lt;4m",D12="Composite Dam (Plastic)&gt;4m",D12="Composite Dam (Timber)&lt;1m (2 planks)",D12="Composite Dam (Timber)&gt;1m - &lt;2m (3 planks)",D12="Composite Dam (Timber)&gt;2m - &lt;3m (4 planks)",D12="Heather Bale Dam&lt;1m",D12="Heather Bale Dam&gt;1m - &lt;2m",D12="Heather Bale Dam&gt;2m - &lt;3m",D12="Heather Bale Dam&gt;3m - &lt;4m",D12="Heather Bale Dam&gt;4m",D12="Plastic Piling&lt;1m",D12="Plastic Piling&gt;1m - &lt;2m",D12="Plastic Piling&gt;2m - &lt;3m",D12="Plastic Piling&gt;3m - &lt;4m",D12="Plastic Piling&gt;4m",D12="Stone Dam&lt;1m (1 unit)",D12="Stone Dam&gt;1m - &lt;2m (2 units)",D12="Stone Dam&gt;2m - &lt;3m (3 units)",D12="Stone Dam&gt;3m - &lt;4m (4 units)",D12="Timber Dam&lt;1m (2 planks)",D12="Timber Dam&gt;1m - &lt;2m (3 planks)",D12="Timber Dam&gt;2m - &lt;3m (4 planks)"),CEILING(C12/VLOOKUP(D12, 'GullyGrip Blocking Data'!$D$84:$E$127, 2, FALSE), 1)*F12*VLOOKUP(A12, 'GullyGrip Blocking Data'!$B$84:$C$93, 2, FALSE),0),0)</f>
        <v>0</v>
      </c>
      <c r="H12" s="165"/>
      <c r="I12" s="235"/>
      <c r="J12" s="165"/>
      <c r="K12" s="165"/>
      <c r="L12" s="165"/>
      <c r="M12" s="233" t="str">
        <f t="shared" si="2"/>
        <v/>
      </c>
      <c r="N12" s="234">
        <f>IFERROR(LOOKUP(M12, Bunding_Raw_Material_Costs[[LOOKUP]:[Av. kgCO2eq]])+IFERROR(VLOOKUP(M12,Bunding_RM_Ceilings[[LOOKUP]:[Av. kgCO2eq]], 2, FALSE)*IF(L12 &gt; VLOOKUP(M12, Bunding_RM_Ceilings[], 3, FALSE),CEILING(L12 / VLOOKUP(M12, Bunding_RM_Ceilings[], 3, FALSE),1),1),0),0)*L12</f>
        <v>0</v>
      </c>
      <c r="O12" s="165"/>
      <c r="P12" s="234">
        <f>IFERROR(IF(OR(M12="Coir Log&lt;1m",M12="Coir Log&gt;1m - &lt;2m",M12="Coir Log&gt;2m - &lt;3m",M12="Coir Log&gt;3m - &lt;4m",M12="Coir Log&gt;4m",M12="Heather Bale Bund&lt;1m",M12="Heather Bale Bund&gt;1m - &lt;2m",M12="Heather Bale Bund&gt;2m - &lt;3m",M12="Heather Bale Bund&gt;3m - &lt;4m",M12="Heather Bale Bund&gt;4m"),CEILING(L12/VLOOKUP(M12, 'Bunding Data'!$D$98:$E$146, 2, FALSE),1)*O12*VLOOKUP(J12, 'Bunding Data'!$B$98:$C$107, 2, FALSE),0),0)</f>
        <v>0</v>
      </c>
      <c r="Q12" s="165"/>
      <c r="R12" s="236"/>
      <c r="S12" s="165"/>
      <c r="T12" s="165"/>
      <c r="U12" s="165"/>
      <c r="V12" s="233" t="str">
        <f t="shared" si="3"/>
        <v/>
      </c>
      <c r="W12" s="234">
        <f>IFERROR(LOOKUP(V12, Revegetation_Raw_Material_Costs[[LOOKUP]:[Av. kgCO2eq]])+IFERROR(VLOOKUP(V12,Revegetation_RM_Ceilings[[LOOKUP]:[Av. kgCO2eq]], 2, FALSE)*IF(U12 &gt; VLOOKUP(V12, Revegetation_RM_Ceilings[], 3, FALSE),CEILING(U12 / VLOOKUP(V12, Revegetation_RM_Ceilings[], 3, FALSE),1),1),0),0)*U12</f>
        <v>0</v>
      </c>
      <c r="X12" s="277"/>
      <c r="Y12" s="234">
        <f>IFERROR(IF(OR(V12="Amount - Plug PlantAmount",V12="Area - Brash/Mulch/TransplantHectares",V12="Area - Geojute/GeotextileHectares",V12="Area - Heather BrashHectares",V12="Area - Lime &amp; FertiliserHectares"),CEILING(U12/VLOOKUP(V12, 'Revegetation Data'!$D$59:$E$75, 2, FALSE),1)*X12*VLOOKUP(S12, 'Revegetation Data'!$B$59:$C$75, 2, FALSE),0),0)</f>
        <v>0</v>
      </c>
      <c r="Z12" s="165"/>
      <c r="AA12" s="219"/>
      <c r="AB12" s="318" t="s">
        <v>142</v>
      </c>
      <c r="AC12" s="318"/>
      <c r="AD12" s="317"/>
      <c r="AE12" s="317"/>
      <c r="AF12" s="317"/>
      <c r="AG12" s="317"/>
      <c r="AH12" s="317"/>
      <c r="AI12" s="317"/>
      <c r="AN12" s="237" t="str">
        <f t="shared" si="0"/>
        <v/>
      </c>
      <c r="AO12" s="312">
        <f>IFERROR(LOOKUP(AN12,GullyGrip_Blocking_Installation_Costs[[LOOKUP]:[Av. kgCO2eq]]),0)*C12</f>
        <v>0</v>
      </c>
      <c r="AP12" s="312"/>
      <c r="AQ12" s="237">
        <f ca="1">COUNTA(OFFSET('GullyGrip Blocking Data'!$B$20,1,MATCH('Carbon Costs Calculator'!$A12,'GullyGrip Blocking Data'!$B$20:$K$20,0)-1,9))</f>
        <v>1</v>
      </c>
      <c r="AR12" s="238">
        <f ca="1">COUNTA(OFFSET('GullyGrip Blocking Data'!$B$134,1,MATCH('Carbon Costs Calculator'!$A12,'GullyGrip Blocking Data'!$B$134:$K$134,0)-1,7))</f>
        <v>1</v>
      </c>
    </row>
    <row r="13" spans="1:52" ht="15" customHeight="1">
      <c r="A13" s="164"/>
      <c r="B13" s="165"/>
      <c r="C13" s="165"/>
      <c r="D13" s="233" t="str">
        <f t="shared" si="1"/>
        <v/>
      </c>
      <c r="E13" s="234">
        <f>IFERROR(LOOKUP(D13, GullyGrip_Blocking_Raw_Material_Costs[[LOOKUP]:[Av. kgCO2eq]])+IFERROR(VLOOKUP(D13, Gullygrip_RM_Ceilings[[LOOKUP]:[Av. kgCO2eq]], 2, FALSE)*IF(C13 &gt; VLOOKUP(D13, Gullygrip_RM_Ceilings[], 3, FALSE),CEILING(C13 / VLOOKUP(D13,Gullygrip_RM_Ceilings[], 3, FALSE),1),1),0),0)*C13</f>
        <v>0</v>
      </c>
      <c r="F13" s="165"/>
      <c r="G13" s="234">
        <f>IFERROR(IF(OR(D13="Composite Dam (Plastic)&lt;1m",D13="Composite Dam (Plastic)&gt;1m - &lt;2m",D13="Composite Dam (Plastic)&gt;2m - &lt;3m",D13="Composite Dam (Plastic)&gt;3m - &lt;4m",D13="Composite Dam (Plastic)&gt;4m",D13="Composite Dam (Timber)&lt;1m (2 planks)",D13="Composite Dam (Timber)&gt;1m - &lt;2m (3 planks)",D13="Composite Dam (Timber)&gt;2m - &lt;3m (4 planks)",D13="Heather Bale Dam&lt;1m",D13="Heather Bale Dam&gt;1m - &lt;2m",D13="Heather Bale Dam&gt;2m - &lt;3m",D13="Heather Bale Dam&gt;3m - &lt;4m",D13="Heather Bale Dam&gt;4m",D13="Plastic Piling&lt;1m",D13="Plastic Piling&gt;1m - &lt;2m",D13="Plastic Piling&gt;2m - &lt;3m",D13="Plastic Piling&gt;3m - &lt;4m",D13="Plastic Piling&gt;4m",D13="Stone Dam&lt;1m (1 unit)",D13="Stone Dam&gt;1m - &lt;2m (2 units)",D13="Stone Dam&gt;2m - &lt;3m (3 units)",D13="Stone Dam&gt;3m - &lt;4m (4 units)",D13="Timber Dam&lt;1m (2 planks)",D13="Timber Dam&gt;1m - &lt;2m (3 planks)",D13="Timber Dam&gt;2m - &lt;3m (4 planks)"),CEILING(C13/VLOOKUP(D13, 'GullyGrip Blocking Data'!$D$84:$E$127, 2, FALSE), 1)*F13*VLOOKUP(A13, 'GullyGrip Blocking Data'!$B$84:$C$93, 2, FALSE),0),0)</f>
        <v>0</v>
      </c>
      <c r="H13" s="165"/>
      <c r="I13" s="235"/>
      <c r="J13" s="165"/>
      <c r="K13" s="165"/>
      <c r="L13" s="165"/>
      <c r="M13" s="233" t="str">
        <f t="shared" si="2"/>
        <v/>
      </c>
      <c r="N13" s="234">
        <f>IFERROR(LOOKUP(M13, Bunding_Raw_Material_Costs[[LOOKUP]:[Av. kgCO2eq]])+IFERROR(VLOOKUP(M13,Bunding_RM_Ceilings[[LOOKUP]:[Av. kgCO2eq]], 2, FALSE)*IF(L13 &gt; VLOOKUP(M13, Bunding_RM_Ceilings[], 3, FALSE),CEILING(L13 / VLOOKUP(M13, Bunding_RM_Ceilings[], 3, FALSE),1),1),0),0)*L13</f>
        <v>0</v>
      </c>
      <c r="O13" s="165"/>
      <c r="P13" s="234">
        <f>IFERROR(IF(OR(M13="Coir Log&lt;1m",M13="Coir Log&gt;1m - &lt;2m",M13="Coir Log&gt;2m - &lt;3m",M13="Coir Log&gt;3m - &lt;4m",M13="Coir Log&gt;4m",M13="Heather Bale Bund&lt;1m",M13="Heather Bale Bund&gt;1m - &lt;2m",M13="Heather Bale Bund&gt;2m - &lt;3m",M13="Heather Bale Bund&gt;3m - &lt;4m",M13="Heather Bale Bund&gt;4m"),CEILING(L13/VLOOKUP(M13, 'Bunding Data'!$D$98:$E$146, 2, FALSE),1)*O13*VLOOKUP(J13, 'Bunding Data'!$B$98:$C$107, 2, FALSE),0),0)</f>
        <v>0</v>
      </c>
      <c r="Q13" s="165"/>
      <c r="R13" s="236"/>
      <c r="S13" s="165"/>
      <c r="T13" s="165"/>
      <c r="U13" s="165"/>
      <c r="V13" s="233" t="str">
        <f t="shared" si="3"/>
        <v/>
      </c>
      <c r="W13" s="234">
        <f>IFERROR(LOOKUP(V13, Revegetation_Raw_Material_Costs[[LOOKUP]:[Av. kgCO2eq]])+IFERROR(VLOOKUP(V13,Revegetation_RM_Ceilings[[LOOKUP]:[Av. kgCO2eq]], 2, FALSE)*IF(U13 &gt; VLOOKUP(V13, Revegetation_RM_Ceilings[], 3, FALSE),CEILING(U13 / VLOOKUP(V13, Revegetation_RM_Ceilings[], 3, FALSE),1),1),0),0)*U13</f>
        <v>0</v>
      </c>
      <c r="X13" s="277"/>
      <c r="Y13" s="234">
        <f>IFERROR(IF(OR(V13="Amount - Plug PlantAmount",V13="Area - Brash/Mulch/TransplantHectares",V13="Area - Geojute/GeotextileHectares",V13="Area - Heather BrashHectares",V13="Area - Lime &amp; FertiliserHectares"),CEILING(U13/VLOOKUP(V13, 'Revegetation Data'!$D$59:$E$75, 2, FALSE),1)*X13*VLOOKUP(S13, 'Revegetation Data'!$B$59:$C$75, 2, FALSE),0),0)</f>
        <v>0</v>
      </c>
      <c r="Z13" s="165"/>
      <c r="AA13" s="219"/>
      <c r="AB13" s="318" t="s">
        <v>143</v>
      </c>
      <c r="AC13" s="318"/>
      <c r="AD13" s="317"/>
      <c r="AE13" s="317"/>
      <c r="AF13" s="317"/>
      <c r="AG13" s="317"/>
      <c r="AH13" s="317"/>
      <c r="AI13" s="317"/>
      <c r="AN13" s="237" t="str">
        <f t="shared" si="0"/>
        <v/>
      </c>
      <c r="AO13" s="312">
        <f>IFERROR(LOOKUP(AN13,GullyGrip_Blocking_Installation_Costs[[LOOKUP]:[Av. kgCO2eq]]),0)*C13</f>
        <v>0</v>
      </c>
      <c r="AP13" s="312"/>
      <c r="AQ13" s="237">
        <f ca="1">COUNTA(OFFSET('GullyGrip Blocking Data'!$B$20,1,MATCH('Carbon Costs Calculator'!$A13,'GullyGrip Blocking Data'!$B$20:$K$20,0)-1,9))</f>
        <v>1</v>
      </c>
      <c r="AR13" s="238">
        <f ca="1">COUNTA(OFFSET('GullyGrip Blocking Data'!$B$134,1,MATCH('Carbon Costs Calculator'!$A13,'GullyGrip Blocking Data'!$B$134:$K$134,0)-1,7))</f>
        <v>1</v>
      </c>
    </row>
    <row r="14" spans="1:52" ht="15" customHeight="1">
      <c r="A14" s="164"/>
      <c r="B14" s="165"/>
      <c r="C14" s="165"/>
      <c r="D14" s="233" t="str">
        <f t="shared" si="1"/>
        <v/>
      </c>
      <c r="E14" s="234">
        <f>IFERROR(LOOKUP(D14, GullyGrip_Blocking_Raw_Material_Costs[[LOOKUP]:[Av. kgCO2eq]])+IFERROR(VLOOKUP(D14, Gullygrip_RM_Ceilings[[LOOKUP]:[Av. kgCO2eq]], 2, FALSE)*IF(C14 &gt; VLOOKUP(D14, Gullygrip_RM_Ceilings[], 3, FALSE),CEILING(C14 / VLOOKUP(D14,Gullygrip_RM_Ceilings[], 3, FALSE),1),1),0),0)*C14</f>
        <v>0</v>
      </c>
      <c r="F14" s="165"/>
      <c r="G14" s="234">
        <f>IFERROR(IF(OR(D14="Composite Dam (Plastic)&lt;1m",D14="Composite Dam (Plastic)&gt;1m - &lt;2m",D14="Composite Dam (Plastic)&gt;2m - &lt;3m",D14="Composite Dam (Plastic)&gt;3m - &lt;4m",D14="Composite Dam (Plastic)&gt;4m",D14="Composite Dam (Timber)&lt;1m (2 planks)",D14="Composite Dam (Timber)&gt;1m - &lt;2m (3 planks)",D14="Composite Dam (Timber)&gt;2m - &lt;3m (4 planks)",D14="Heather Bale Dam&lt;1m",D14="Heather Bale Dam&gt;1m - &lt;2m",D14="Heather Bale Dam&gt;2m - &lt;3m",D14="Heather Bale Dam&gt;3m - &lt;4m",D14="Heather Bale Dam&gt;4m",D14="Plastic Piling&lt;1m",D14="Plastic Piling&gt;1m - &lt;2m",D14="Plastic Piling&gt;2m - &lt;3m",D14="Plastic Piling&gt;3m - &lt;4m",D14="Plastic Piling&gt;4m",D14="Stone Dam&lt;1m (1 unit)",D14="Stone Dam&gt;1m - &lt;2m (2 units)",D14="Stone Dam&gt;2m - &lt;3m (3 units)",D14="Stone Dam&gt;3m - &lt;4m (4 units)",D14="Timber Dam&lt;1m (2 planks)",D14="Timber Dam&gt;1m - &lt;2m (3 planks)",D14="Timber Dam&gt;2m - &lt;3m (4 planks)"),CEILING(C14/VLOOKUP(D14, 'GullyGrip Blocking Data'!$D$84:$E$127, 2, FALSE), 1)*F14*VLOOKUP(A14, 'GullyGrip Blocking Data'!$B$84:$C$93, 2, FALSE),0),0)</f>
        <v>0</v>
      </c>
      <c r="H14" s="165"/>
      <c r="I14" s="235"/>
      <c r="J14" s="165"/>
      <c r="K14" s="165"/>
      <c r="L14" s="165"/>
      <c r="M14" s="233" t="str">
        <f t="shared" si="2"/>
        <v/>
      </c>
      <c r="N14" s="234">
        <f>IFERROR(LOOKUP(M14, Bunding_Raw_Material_Costs[[LOOKUP]:[Av. kgCO2eq]])+IFERROR(VLOOKUP(M14,Bunding_RM_Ceilings[[LOOKUP]:[Av. kgCO2eq]], 2, FALSE)*IF(L14 &gt; VLOOKUP(M14, Bunding_RM_Ceilings[], 3, FALSE),CEILING(L14 / VLOOKUP(M14, Bunding_RM_Ceilings[], 3, FALSE),1),1),0),0)*L14</f>
        <v>0</v>
      </c>
      <c r="O14" s="165"/>
      <c r="P14" s="234">
        <f>IFERROR(IF(OR(M14="Coir Log&lt;1m",M14="Coir Log&gt;1m - &lt;2m",M14="Coir Log&gt;2m - &lt;3m",M14="Coir Log&gt;3m - &lt;4m",M14="Coir Log&gt;4m",M14="Heather Bale Bund&lt;1m",M14="Heather Bale Bund&gt;1m - &lt;2m",M14="Heather Bale Bund&gt;2m - &lt;3m",M14="Heather Bale Bund&gt;3m - &lt;4m",M14="Heather Bale Bund&gt;4m"),CEILING(L14/VLOOKUP(M14, 'Bunding Data'!$D$98:$E$146, 2, FALSE),1)*O14*VLOOKUP(J14, 'Bunding Data'!$B$98:$C$107, 2, FALSE),0),0)</f>
        <v>0</v>
      </c>
      <c r="Q14" s="165"/>
      <c r="R14" s="236"/>
      <c r="S14" s="165"/>
      <c r="T14" s="165"/>
      <c r="U14" s="165"/>
      <c r="V14" s="233" t="str">
        <f t="shared" si="3"/>
        <v/>
      </c>
      <c r="W14" s="234">
        <f>IFERROR(LOOKUP(V14, Revegetation_Raw_Material_Costs[[LOOKUP]:[Av. kgCO2eq]])+IFERROR(VLOOKUP(V14,Revegetation_RM_Ceilings[[LOOKUP]:[Av. kgCO2eq]], 2, FALSE)*IF(U14 &gt; VLOOKUP(V14, Revegetation_RM_Ceilings[], 3, FALSE),CEILING(U14 / VLOOKUP(V14, Revegetation_RM_Ceilings[], 3, FALSE),1),1),0),0)*U14</f>
        <v>0</v>
      </c>
      <c r="X14" s="277"/>
      <c r="Y14" s="234">
        <f>IFERROR(IF(OR(V14="Amount - Plug PlantAmount",V14="Area - Brash/Mulch/TransplantHectares",V14="Area - Geojute/GeotextileHectares",V14="Area - Heather BrashHectares",V14="Area - Lime &amp; FertiliserHectares"),CEILING(U14/VLOOKUP(V14, 'Revegetation Data'!$D$59:$E$75, 2, FALSE),1)*X14*VLOOKUP(S14, 'Revegetation Data'!$B$59:$C$75, 2, FALSE),0),0)</f>
        <v>0</v>
      </c>
      <c r="Z14" s="165"/>
      <c r="AA14" s="219"/>
      <c r="AB14" s="308"/>
      <c r="AC14" s="308"/>
      <c r="AD14" s="219"/>
      <c r="AE14" s="219"/>
      <c r="AF14" s="219"/>
      <c r="AG14" s="219"/>
      <c r="AH14" s="219"/>
      <c r="AI14" s="219"/>
      <c r="AN14" s="237" t="str">
        <f t="shared" si="0"/>
        <v/>
      </c>
      <c r="AO14" s="312">
        <f>IFERROR(LOOKUP(AN14,GullyGrip_Blocking_Installation_Costs[[LOOKUP]:[Av. kgCO2eq]]),0)*C14</f>
        <v>0</v>
      </c>
      <c r="AP14" s="312"/>
      <c r="AQ14" s="237">
        <f ca="1">COUNTA(OFFSET('GullyGrip Blocking Data'!$B$20,1,MATCH('Carbon Costs Calculator'!$A14,'GullyGrip Blocking Data'!$B$20:$K$20,0)-1,9))</f>
        <v>1</v>
      </c>
      <c r="AR14" s="238">
        <f ca="1">COUNTA(OFFSET('GullyGrip Blocking Data'!$B$134,1,MATCH('Carbon Costs Calculator'!$A14,'GullyGrip Blocking Data'!$B$134:$K$134,0)-1,7))</f>
        <v>1</v>
      </c>
    </row>
    <row r="15" spans="1:52" ht="15" customHeight="1">
      <c r="A15" s="219"/>
      <c r="B15" s="219"/>
      <c r="C15" s="219"/>
      <c r="F15" s="219"/>
      <c r="H15" s="219"/>
      <c r="I15" s="219"/>
      <c r="J15" s="219"/>
      <c r="K15" s="219"/>
      <c r="L15" s="219"/>
      <c r="O15" s="219"/>
      <c r="Q15" s="219"/>
      <c r="R15" s="219"/>
      <c r="S15" s="219"/>
      <c r="T15" s="219"/>
      <c r="U15" s="219"/>
      <c r="Z15" s="219"/>
      <c r="AA15" s="219"/>
      <c r="AB15" s="314"/>
      <c r="AC15" s="314"/>
      <c r="AD15" s="219"/>
      <c r="AE15" s="219"/>
      <c r="AF15" s="219"/>
      <c r="AG15" s="219"/>
      <c r="AH15" s="219"/>
      <c r="AI15" s="219"/>
    </row>
    <row r="16" spans="1:52" ht="15" customHeight="1">
      <c r="A16" s="219"/>
      <c r="B16" s="219"/>
      <c r="C16" s="219"/>
      <c r="F16" s="219"/>
      <c r="H16" s="219"/>
      <c r="I16" s="219"/>
      <c r="J16" s="219"/>
      <c r="K16" s="219"/>
      <c r="L16" s="219"/>
      <c r="O16" s="219"/>
      <c r="Q16" s="219"/>
      <c r="R16" s="219"/>
      <c r="S16" s="219"/>
      <c r="T16" s="219"/>
      <c r="U16" s="219"/>
      <c r="Z16" s="219"/>
      <c r="AA16" s="219"/>
      <c r="AB16" s="219"/>
      <c r="AC16" s="219"/>
      <c r="AD16" s="219"/>
      <c r="AE16" s="219"/>
      <c r="AF16" s="219"/>
      <c r="AG16" s="219"/>
      <c r="AH16" s="219"/>
      <c r="AI16" s="219"/>
      <c r="AN16" s="229" t="s">
        <v>118</v>
      </c>
      <c r="AO16" s="319" t="s">
        <v>127</v>
      </c>
      <c r="AP16" s="319"/>
      <c r="AQ16" s="230" t="s">
        <v>128</v>
      </c>
      <c r="AR16" s="231" t="s">
        <v>129</v>
      </c>
    </row>
    <row r="17" spans="1:44" ht="15" customHeight="1">
      <c r="A17" s="219"/>
      <c r="B17" s="219"/>
      <c r="C17" s="219"/>
      <c r="F17" s="219"/>
      <c r="H17" s="219"/>
      <c r="I17" s="219"/>
      <c r="J17" s="219"/>
      <c r="K17" s="219"/>
      <c r="L17" s="219"/>
      <c r="O17" s="219"/>
      <c r="Q17" s="219"/>
      <c r="R17" s="219"/>
      <c r="S17" s="219"/>
      <c r="T17" s="219"/>
      <c r="U17" s="219"/>
      <c r="Z17" s="219"/>
      <c r="AA17" s="219"/>
      <c r="AB17" s="311"/>
      <c r="AC17" s="311"/>
      <c r="AD17" s="311"/>
      <c r="AE17" s="219"/>
      <c r="AF17" s="219"/>
      <c r="AG17" s="219"/>
      <c r="AH17" s="219"/>
      <c r="AI17" s="219"/>
      <c r="AN17" s="237" t="str">
        <f t="shared" ref="AN17:AN23" si="4">M5&amp;Q5</f>
        <v/>
      </c>
      <c r="AO17" s="312">
        <f>IFERROR(LOOKUP(AN17,Bunding_Installation_Costs[[LOOKUP]:[Av. kgCO2eq]]),0)*L5</f>
        <v>0</v>
      </c>
      <c r="AP17" s="312"/>
      <c r="AQ17" s="237">
        <f ca="1">COUNTA(OFFSET('Bunding Data'!$B$20,1,MATCH('Carbon Costs Calculator'!$J5,'Bunding Data'!$B$20:$K$20,0)-1,9))</f>
        <v>1</v>
      </c>
      <c r="AR17" s="238">
        <f ca="1">COUNTA(OFFSET('Bunding Data'!$B$160,1,MATCH('Carbon Costs Calculator'!$J5,'Bunding Data'!$B$160:$K$160,0)-1,7))</f>
        <v>1</v>
      </c>
    </row>
    <row r="18" spans="1:44" ht="15" customHeight="1">
      <c r="A18" s="219"/>
      <c r="B18" s="219"/>
      <c r="C18" s="219"/>
      <c r="F18" s="219"/>
      <c r="H18" s="219"/>
      <c r="I18" s="219"/>
      <c r="J18" s="219"/>
      <c r="K18" s="219"/>
      <c r="L18" s="219"/>
      <c r="O18" s="219"/>
      <c r="Q18" s="219"/>
      <c r="R18" s="219"/>
      <c r="S18" s="219"/>
      <c r="T18" s="219"/>
      <c r="U18" s="219"/>
      <c r="Z18" s="219"/>
      <c r="AA18" s="219"/>
      <c r="AB18" s="219"/>
      <c r="AC18" s="219"/>
      <c r="AD18" s="219"/>
      <c r="AE18" s="219"/>
      <c r="AF18" s="219"/>
      <c r="AG18" s="219"/>
      <c r="AH18" s="219"/>
      <c r="AI18" s="219"/>
      <c r="AN18" s="237" t="str">
        <f t="shared" si="4"/>
        <v/>
      </c>
      <c r="AO18" s="312">
        <f>IFERROR(LOOKUP(AN18,Bunding_Installation_Costs[[LOOKUP]:[Av. kgCO2eq]]),0)*L6</f>
        <v>0</v>
      </c>
      <c r="AP18" s="312"/>
      <c r="AQ18" s="237">
        <f ca="1">COUNTA(OFFSET('Bunding Data'!$B$20,1,MATCH('Carbon Costs Calculator'!$J6,'Bunding Data'!$B$20:$K$20,0)-1,9))</f>
        <v>1</v>
      </c>
      <c r="AR18" s="238">
        <f ca="1">COUNTA(OFFSET('Bunding Data'!$B$160,1,MATCH('Carbon Costs Calculator'!$J6,'Bunding Data'!$B$160:$K$160,0)-1,7))</f>
        <v>1</v>
      </c>
    </row>
    <row r="19" spans="1:44" ht="15" customHeight="1">
      <c r="A19" s="219"/>
      <c r="B19" s="219"/>
      <c r="C19" s="219"/>
      <c r="F19" s="219"/>
      <c r="H19" s="219"/>
      <c r="I19" s="219"/>
      <c r="J19" s="219"/>
      <c r="K19" s="219"/>
      <c r="L19" s="219"/>
      <c r="O19" s="219"/>
      <c r="Q19" s="219"/>
      <c r="R19" s="219"/>
      <c r="S19" s="219"/>
      <c r="T19" s="219"/>
      <c r="U19" s="219"/>
      <c r="Z19" s="219"/>
      <c r="AA19" s="219"/>
      <c r="AB19" s="219"/>
      <c r="AC19" s="219"/>
      <c r="AD19" s="219"/>
      <c r="AE19" s="219"/>
      <c r="AF19" s="219"/>
      <c r="AG19" s="219"/>
      <c r="AH19" s="219"/>
      <c r="AI19" s="219"/>
      <c r="AN19" s="237" t="str">
        <f t="shared" si="4"/>
        <v/>
      </c>
      <c r="AO19" s="312">
        <f>IFERROR(LOOKUP(AN19,Bunding_Installation_Costs[[LOOKUP]:[Av. kgCO2eq]]),0)*L7</f>
        <v>0</v>
      </c>
      <c r="AP19" s="312"/>
      <c r="AQ19" s="237">
        <f ca="1">COUNTA(OFFSET('Bunding Data'!$B$20,1,MATCH('Carbon Costs Calculator'!$J7,'Bunding Data'!$B$20:$K$20,0)-1,9))</f>
        <v>1</v>
      </c>
      <c r="AR19" s="238">
        <f ca="1">COUNTA(OFFSET('Bunding Data'!$B$160,1,MATCH('Carbon Costs Calculator'!$J7,'Bunding Data'!$B$160:$K$160,0)-1,7))</f>
        <v>1</v>
      </c>
    </row>
    <row r="20" spans="1:44" ht="15" customHeight="1">
      <c r="A20" s="219"/>
      <c r="B20" s="219"/>
      <c r="C20" s="219"/>
      <c r="F20" s="219"/>
      <c r="H20" s="219"/>
      <c r="I20" s="219"/>
      <c r="J20" s="219"/>
      <c r="K20" s="219"/>
      <c r="L20" s="219"/>
      <c r="O20" s="219"/>
      <c r="Q20" s="219"/>
      <c r="R20" s="219"/>
      <c r="S20" s="219"/>
      <c r="T20" s="219"/>
      <c r="U20" s="219"/>
      <c r="Z20" s="219"/>
      <c r="AA20" s="219"/>
      <c r="AB20" s="219"/>
      <c r="AC20" s="219"/>
      <c r="AD20" s="219"/>
      <c r="AE20" s="219"/>
      <c r="AF20" s="219"/>
      <c r="AG20" s="219"/>
      <c r="AH20" s="219"/>
      <c r="AI20" s="219"/>
      <c r="AN20" s="237" t="str">
        <f t="shared" si="4"/>
        <v/>
      </c>
      <c r="AO20" s="312">
        <f>IFERROR(LOOKUP(AN20,Bunding_Installation_Costs[[LOOKUP]:[Av. kgCO2eq]]),0)*L8</f>
        <v>0</v>
      </c>
      <c r="AP20" s="312"/>
      <c r="AQ20" s="237">
        <f ca="1">COUNTA(OFFSET('Bunding Data'!$B$20,1,MATCH('Carbon Costs Calculator'!$J8,'Bunding Data'!$B$20:$K$20,0)-1,9))</f>
        <v>1</v>
      </c>
      <c r="AR20" s="238">
        <f ca="1">COUNTA(OFFSET('Bunding Data'!$B$160,1,MATCH('Carbon Costs Calculator'!$J8,'Bunding Data'!$B$160:$K$160,0)-1,7))</f>
        <v>1</v>
      </c>
    </row>
    <row r="21" spans="1:44" ht="15" customHeight="1">
      <c r="A21" s="219"/>
      <c r="B21" s="219"/>
      <c r="C21" s="219"/>
      <c r="F21" s="219"/>
      <c r="H21" s="219"/>
      <c r="I21" s="219"/>
      <c r="J21" s="219"/>
      <c r="K21" s="219"/>
      <c r="L21" s="219"/>
      <c r="O21" s="219"/>
      <c r="Q21" s="219"/>
      <c r="R21" s="219"/>
      <c r="S21" s="219"/>
      <c r="T21" s="219"/>
      <c r="U21" s="219"/>
      <c r="Z21" s="219"/>
      <c r="AA21" s="219"/>
      <c r="AB21" s="219"/>
      <c r="AC21" s="219"/>
      <c r="AD21" s="219"/>
      <c r="AE21" s="219"/>
      <c r="AF21" s="219"/>
      <c r="AG21" s="219"/>
      <c r="AH21" s="219"/>
      <c r="AI21" s="219"/>
      <c r="AN21" s="237" t="str">
        <f t="shared" si="4"/>
        <v/>
      </c>
      <c r="AO21" s="312">
        <f>IFERROR(LOOKUP(AN21,Bunding_Installation_Costs[[LOOKUP]:[Av. kgCO2eq]]),0)*L9</f>
        <v>0</v>
      </c>
      <c r="AP21" s="312"/>
      <c r="AQ21" s="237">
        <f ca="1">COUNTA(OFFSET('Bunding Data'!$B$20,1,MATCH('Carbon Costs Calculator'!$J9,'Bunding Data'!$B$20:$K$20,0)-1,9))</f>
        <v>1</v>
      </c>
      <c r="AR21" s="238">
        <f ca="1">COUNTA(OFFSET('Bunding Data'!$B$160,1,MATCH('Carbon Costs Calculator'!$J9,'Bunding Data'!$B$160:$K$160,0)-1,7))</f>
        <v>1</v>
      </c>
    </row>
    <row r="22" spans="1:44" ht="15" customHeight="1">
      <c r="A22" s="219"/>
      <c r="B22" s="219"/>
      <c r="C22" s="219"/>
      <c r="F22" s="219"/>
      <c r="H22" s="219"/>
      <c r="I22" s="219"/>
      <c r="J22" s="219"/>
      <c r="K22" s="219"/>
      <c r="L22" s="219"/>
      <c r="O22" s="219"/>
      <c r="Q22" s="219"/>
      <c r="R22" s="219"/>
      <c r="S22" s="219"/>
      <c r="T22" s="219"/>
      <c r="U22" s="219"/>
      <c r="Z22" s="219"/>
      <c r="AA22" s="219"/>
      <c r="AB22" s="219"/>
      <c r="AC22" s="219"/>
      <c r="AD22" s="219"/>
      <c r="AE22" s="219"/>
      <c r="AF22" s="219"/>
      <c r="AG22" s="219"/>
      <c r="AH22" s="219"/>
      <c r="AI22" s="219"/>
      <c r="AN22" s="237" t="str">
        <f t="shared" si="4"/>
        <v/>
      </c>
      <c r="AO22" s="312">
        <f>IFERROR(LOOKUP(AN22,Bunding_Installation_Costs[[LOOKUP]:[Av. kgCO2eq]]),0)*L10</f>
        <v>0</v>
      </c>
      <c r="AP22" s="312"/>
      <c r="AQ22" s="237">
        <f ca="1">COUNTA(OFFSET('Bunding Data'!$B$20,1,MATCH('Carbon Costs Calculator'!$J10,'Bunding Data'!$B$20:$K$20,0)-1,9))</f>
        <v>1</v>
      </c>
      <c r="AR22" s="238">
        <f ca="1">COUNTA(OFFSET('Bunding Data'!$B$160,1,MATCH('Carbon Costs Calculator'!$J10,'Bunding Data'!$B$160:$K$160,0)-1,7))</f>
        <v>1</v>
      </c>
    </row>
    <row r="23" spans="1:44" ht="15" customHeight="1">
      <c r="A23" s="219"/>
      <c r="B23" s="219"/>
      <c r="C23" s="219"/>
      <c r="F23" s="219"/>
      <c r="H23" s="219"/>
      <c r="I23" s="219"/>
      <c r="J23" s="219"/>
      <c r="K23" s="219"/>
      <c r="L23" s="219"/>
      <c r="O23" s="219"/>
      <c r="Q23" s="219"/>
      <c r="R23" s="219"/>
      <c r="S23" s="219"/>
      <c r="T23" s="219"/>
      <c r="U23" s="219"/>
      <c r="Z23" s="219"/>
      <c r="AA23" s="219"/>
      <c r="AB23" s="219"/>
      <c r="AC23" s="219"/>
      <c r="AD23" s="219"/>
      <c r="AE23" s="219"/>
      <c r="AF23" s="219"/>
      <c r="AG23" s="219"/>
      <c r="AH23" s="219"/>
      <c r="AI23" s="219"/>
      <c r="AN23" s="237" t="str">
        <f t="shared" si="4"/>
        <v/>
      </c>
      <c r="AO23" s="312">
        <f>IFERROR(LOOKUP(AN23,Bunding_Installation_Costs[[LOOKUP]:[Av. kgCO2eq]]),0)*L11</f>
        <v>0</v>
      </c>
      <c r="AP23" s="312"/>
      <c r="AQ23" s="237">
        <f ca="1">COUNTA(OFFSET('Bunding Data'!$B$20,1,MATCH('Carbon Costs Calculator'!$J11,'Bunding Data'!$B$20:$K$20,0)-1,9))</f>
        <v>1</v>
      </c>
      <c r="AR23" s="238">
        <f ca="1">COUNTA(OFFSET('Bunding Data'!$B$160,1,MATCH('Carbon Costs Calculator'!$J11,'Bunding Data'!$B$160:$K$160,0)-1,7))</f>
        <v>1</v>
      </c>
    </row>
    <row r="24" spans="1:44" ht="15" customHeight="1">
      <c r="A24" s="219"/>
      <c r="B24" s="219"/>
      <c r="C24" s="219"/>
      <c r="F24" s="219"/>
      <c r="H24" s="219"/>
      <c r="I24" s="219"/>
      <c r="J24" s="219"/>
      <c r="K24" s="219"/>
      <c r="L24" s="219"/>
      <c r="O24" s="219"/>
      <c r="Q24" s="219"/>
      <c r="R24" s="219"/>
      <c r="S24" s="219"/>
      <c r="T24" s="219"/>
      <c r="U24" s="219"/>
      <c r="Z24" s="219"/>
      <c r="AA24" s="219"/>
      <c r="AB24" s="219"/>
      <c r="AC24" s="219"/>
      <c r="AD24" s="219"/>
      <c r="AE24" s="219"/>
      <c r="AF24" s="219"/>
      <c r="AG24" s="219"/>
      <c r="AH24" s="219"/>
      <c r="AI24" s="219"/>
      <c r="AN24" s="237" t="str">
        <f t="shared" ref="AN24:AN26" si="5">M12&amp;Q12</f>
        <v/>
      </c>
      <c r="AO24" s="312">
        <f>IFERROR(LOOKUP(AN24,Bunding_Installation_Costs[[LOOKUP]:[Av. kgCO2eq]]),0)*L12</f>
        <v>0</v>
      </c>
      <c r="AP24" s="312"/>
      <c r="AQ24" s="237">
        <f ca="1">COUNTA(OFFSET('Bunding Data'!$B$20,1,MATCH('Carbon Costs Calculator'!$J12,'Bunding Data'!$B$20:$K$20,0)-1,9))</f>
        <v>1</v>
      </c>
      <c r="AR24" s="238">
        <f ca="1">COUNTA(OFFSET('Bunding Data'!$B$160,1,MATCH('Carbon Costs Calculator'!$J12,'Bunding Data'!$B$160:$K$160,0)-1,7))</f>
        <v>1</v>
      </c>
    </row>
    <row r="25" spans="1:44" ht="15" customHeight="1">
      <c r="A25" s="219"/>
      <c r="B25" s="219"/>
      <c r="C25" s="219"/>
      <c r="F25" s="219"/>
      <c r="H25" s="219"/>
      <c r="I25" s="219"/>
      <c r="J25" s="219"/>
      <c r="K25" s="219"/>
      <c r="L25" s="219"/>
      <c r="O25" s="219"/>
      <c r="Q25" s="219"/>
      <c r="R25" s="219"/>
      <c r="S25" s="219"/>
      <c r="T25" s="219"/>
      <c r="U25" s="219"/>
      <c r="Z25" s="219"/>
      <c r="AA25" s="219"/>
      <c r="AB25" s="219"/>
      <c r="AC25" s="219"/>
      <c r="AD25" s="219"/>
      <c r="AE25" s="219"/>
      <c r="AF25" s="219"/>
      <c r="AG25" s="219"/>
      <c r="AH25" s="219"/>
      <c r="AI25" s="219"/>
      <c r="AN25" s="237" t="str">
        <f t="shared" si="5"/>
        <v/>
      </c>
      <c r="AO25" s="312">
        <f>IFERROR(LOOKUP(AN25,Bunding_Installation_Costs[[LOOKUP]:[Av. kgCO2eq]]),0)*L13</f>
        <v>0</v>
      </c>
      <c r="AP25" s="312"/>
      <c r="AQ25" s="237">
        <f ca="1">COUNTA(OFFSET('Bunding Data'!$B$20,1,MATCH('Carbon Costs Calculator'!$J13,'Bunding Data'!$B$20:$K$20,0)-1,9))</f>
        <v>1</v>
      </c>
      <c r="AR25" s="238">
        <f ca="1">COUNTA(OFFSET('Bunding Data'!$B$160,1,MATCH('Carbon Costs Calculator'!$J13,'Bunding Data'!$B$160:$K$160,0)-1,7))</f>
        <v>1</v>
      </c>
    </row>
    <row r="26" spans="1:44" ht="15" customHeight="1">
      <c r="A26" s="219"/>
      <c r="B26" s="219"/>
      <c r="C26" s="219"/>
      <c r="F26" s="219"/>
      <c r="H26" s="219"/>
      <c r="I26" s="219"/>
      <c r="J26" s="219"/>
      <c r="K26" s="219"/>
      <c r="L26" s="219"/>
      <c r="O26" s="219"/>
      <c r="Q26" s="219"/>
      <c r="R26" s="219"/>
      <c r="S26" s="219"/>
      <c r="T26" s="219"/>
      <c r="U26" s="219"/>
      <c r="Z26" s="219"/>
      <c r="AA26" s="219"/>
      <c r="AB26" s="219"/>
      <c r="AC26" s="219"/>
      <c r="AD26" s="219"/>
      <c r="AE26" s="219"/>
      <c r="AF26" s="219"/>
      <c r="AG26" s="219"/>
      <c r="AH26" s="219"/>
      <c r="AI26" s="219"/>
      <c r="AN26" s="237" t="str">
        <f t="shared" si="5"/>
        <v/>
      </c>
      <c r="AO26" s="312">
        <f>IFERROR(LOOKUP(AN26,Bunding_Installation_Costs[[LOOKUP]:[Av. kgCO2eq]]),0)*L14</f>
        <v>0</v>
      </c>
      <c r="AP26" s="312"/>
      <c r="AQ26" s="237">
        <f ca="1">COUNTA(OFFSET('Bunding Data'!$B$20,1,MATCH('Carbon Costs Calculator'!$J14,'Bunding Data'!$B$20:$K$20,0)-1,9))</f>
        <v>1</v>
      </c>
      <c r="AR26" s="238">
        <f ca="1">COUNTA(OFFSET('Bunding Data'!$B$160,1,MATCH('Carbon Costs Calculator'!$J14,'Bunding Data'!$B$160:$K$160,0)-1,7))</f>
        <v>1</v>
      </c>
    </row>
    <row r="27" spans="1:44" ht="15" customHeight="1">
      <c r="A27" s="219"/>
      <c r="B27" s="219"/>
      <c r="C27" s="219"/>
      <c r="F27" s="219"/>
      <c r="H27" s="219"/>
      <c r="I27" s="219"/>
      <c r="J27" s="219"/>
      <c r="K27" s="219"/>
      <c r="L27" s="219"/>
      <c r="O27" s="219"/>
      <c r="Q27" s="219"/>
      <c r="R27" s="219"/>
      <c r="S27" s="219"/>
      <c r="T27" s="219"/>
      <c r="U27" s="219"/>
      <c r="Z27" s="219"/>
      <c r="AA27" s="219"/>
      <c r="AB27" s="219"/>
      <c r="AC27" s="219"/>
      <c r="AD27" s="219"/>
      <c r="AE27" s="219"/>
      <c r="AF27" s="219"/>
      <c r="AG27" s="219"/>
      <c r="AH27" s="219"/>
      <c r="AI27" s="219"/>
    </row>
    <row r="28" spans="1:44" ht="15" customHeight="1">
      <c r="A28" s="219"/>
      <c r="B28" s="219"/>
      <c r="C28" s="219"/>
      <c r="F28" s="219"/>
      <c r="H28" s="219"/>
      <c r="I28" s="219"/>
      <c r="J28" s="219"/>
      <c r="K28" s="219"/>
      <c r="L28" s="219"/>
      <c r="O28" s="219"/>
      <c r="Q28" s="219"/>
      <c r="R28" s="219"/>
      <c r="S28" s="219"/>
      <c r="T28" s="219"/>
      <c r="U28" s="219"/>
      <c r="Z28" s="219"/>
      <c r="AA28" s="219"/>
      <c r="AB28" s="219"/>
      <c r="AC28" s="219"/>
      <c r="AD28" s="219"/>
      <c r="AE28" s="219"/>
      <c r="AF28" s="219"/>
      <c r="AG28" s="219"/>
      <c r="AH28" s="219"/>
      <c r="AI28" s="219"/>
      <c r="AN28" s="229" t="s">
        <v>118</v>
      </c>
      <c r="AO28" s="319" t="s">
        <v>127</v>
      </c>
      <c r="AP28" s="319"/>
      <c r="AQ28" s="230" t="s">
        <v>128</v>
      </c>
      <c r="AR28" s="231" t="s">
        <v>129</v>
      </c>
    </row>
    <row r="29" spans="1:44" ht="15" customHeight="1">
      <c r="A29" s="219"/>
      <c r="B29" s="219"/>
      <c r="C29" s="219"/>
      <c r="F29" s="219"/>
      <c r="H29" s="219"/>
      <c r="I29" s="219"/>
      <c r="J29" s="219"/>
      <c r="K29" s="219"/>
      <c r="L29" s="219"/>
      <c r="O29" s="219"/>
      <c r="Q29" s="219"/>
      <c r="R29" s="219"/>
      <c r="S29" s="219"/>
      <c r="T29" s="219"/>
      <c r="U29" s="219"/>
      <c r="Z29" s="219"/>
      <c r="AA29" s="219"/>
      <c r="AB29" s="219"/>
      <c r="AC29" s="219"/>
      <c r="AD29" s="219"/>
      <c r="AE29" s="219"/>
      <c r="AF29" s="219"/>
      <c r="AG29" s="219"/>
      <c r="AH29" s="219"/>
      <c r="AI29" s="219"/>
      <c r="AN29" s="237" t="str">
        <f t="shared" ref="AN29:AN38" si="6">V5&amp;Z5</f>
        <v/>
      </c>
      <c r="AO29" s="312">
        <f>IFERROR(LOOKUP(AN29,Revegetation_Installation_Costs[[LOOKUP]:[Av. kgCO2eq]]),0)*U5</f>
        <v>0</v>
      </c>
      <c r="AP29" s="312"/>
      <c r="AQ29" s="237">
        <f ca="1">COUNTA(OFFSET('Revegetation Data'!$B$27,1,MATCH('Carbon Costs Calculator'!$S5,'Revegetation Data'!$B$27:$R$27,0)-1,9))</f>
        <v>1</v>
      </c>
      <c r="AR29" s="238">
        <f ca="1">COUNTA(OFFSET('Revegetation Data'!$B$82,1,MATCH('Carbon Costs Calculator'!$S5,'Revegetation Data'!$B$82:$R$82,0)-1,7))</f>
        <v>1</v>
      </c>
    </row>
    <row r="30" spans="1:44" ht="15" customHeight="1">
      <c r="A30" s="219"/>
      <c r="B30" s="219"/>
      <c r="C30" s="219"/>
      <c r="F30" s="219"/>
      <c r="H30" s="219"/>
      <c r="I30" s="219"/>
      <c r="J30" s="219"/>
      <c r="K30" s="219"/>
      <c r="L30" s="219"/>
      <c r="O30" s="219"/>
      <c r="Q30" s="219"/>
      <c r="R30" s="219"/>
      <c r="S30" s="219"/>
      <c r="T30" s="219"/>
      <c r="U30" s="219"/>
      <c r="Z30" s="219"/>
      <c r="AA30" s="219"/>
      <c r="AB30" s="219"/>
      <c r="AC30" s="219"/>
      <c r="AD30" s="219"/>
      <c r="AE30" s="219"/>
      <c r="AF30" s="219"/>
      <c r="AG30" s="219"/>
      <c r="AH30" s="219"/>
      <c r="AI30" s="219"/>
      <c r="AN30" s="237" t="str">
        <f t="shared" si="6"/>
        <v/>
      </c>
      <c r="AO30" s="312">
        <f>IFERROR(LOOKUP(AN30,Revegetation_Installation_Costs[[LOOKUP]:[Av. kgCO2eq]]),0)*U6</f>
        <v>0</v>
      </c>
      <c r="AP30" s="312"/>
      <c r="AQ30" s="237">
        <f ca="1">COUNTA(OFFSET('Revegetation Data'!$B$27,1,MATCH('Carbon Costs Calculator'!$S6,'Revegetation Data'!$B$27:$R$27,0)-1,9))</f>
        <v>1</v>
      </c>
      <c r="AR30" s="238">
        <f ca="1">COUNTA(OFFSET('Revegetation Data'!$B$82,1,MATCH('Carbon Costs Calculator'!$S6,'Revegetation Data'!$B$82:$R$82,0)-1,7))</f>
        <v>1</v>
      </c>
    </row>
    <row r="31" spans="1:44" ht="15" customHeight="1">
      <c r="A31" s="219"/>
      <c r="B31" s="219"/>
      <c r="C31" s="219"/>
      <c r="F31" s="219"/>
      <c r="H31" s="219"/>
      <c r="I31" s="219"/>
      <c r="J31" s="219"/>
      <c r="K31" s="219"/>
      <c r="L31" s="219"/>
      <c r="O31" s="219"/>
      <c r="Q31" s="219"/>
      <c r="R31" s="219"/>
      <c r="S31" s="219"/>
      <c r="T31" s="219"/>
      <c r="U31" s="219"/>
      <c r="Z31" s="219"/>
      <c r="AA31" s="219"/>
      <c r="AB31" s="219"/>
      <c r="AC31" s="219"/>
      <c r="AD31" s="219"/>
      <c r="AE31" s="219"/>
      <c r="AF31" s="219"/>
      <c r="AG31" s="219"/>
      <c r="AH31" s="219"/>
      <c r="AI31" s="219"/>
      <c r="AN31" s="237" t="str">
        <f t="shared" si="6"/>
        <v/>
      </c>
      <c r="AO31" s="312">
        <f>IFERROR(LOOKUP(AN31,Revegetation_Installation_Costs[[LOOKUP]:[Av. kgCO2eq]]),0)*U7</f>
        <v>0</v>
      </c>
      <c r="AP31" s="312"/>
      <c r="AQ31" s="237">
        <f ca="1">COUNTA(OFFSET('Revegetation Data'!$B$27,1,MATCH('Carbon Costs Calculator'!$S7,'Revegetation Data'!$B$27:$R$27,0)-1,9))</f>
        <v>1</v>
      </c>
      <c r="AR31" s="238">
        <f ca="1">COUNTA(OFFSET('Revegetation Data'!$B$82,1,MATCH('Carbon Costs Calculator'!$S7,'Revegetation Data'!$B$82:$R$82,0)-1,7))</f>
        <v>1</v>
      </c>
    </row>
    <row r="32" spans="1:44" ht="15" customHeight="1">
      <c r="A32" s="219"/>
      <c r="B32" s="219"/>
      <c r="C32" s="219"/>
      <c r="F32" s="219"/>
      <c r="H32" s="219"/>
      <c r="I32" s="219"/>
      <c r="J32" s="219"/>
      <c r="K32" s="219"/>
      <c r="L32" s="219"/>
      <c r="O32" s="219"/>
      <c r="Q32" s="219"/>
      <c r="R32" s="219"/>
      <c r="S32" s="219"/>
      <c r="T32" s="219"/>
      <c r="U32" s="219"/>
      <c r="Z32" s="219"/>
      <c r="AA32" s="219"/>
      <c r="AB32" s="219"/>
      <c r="AC32" s="219"/>
      <c r="AD32" s="219"/>
      <c r="AE32" s="219"/>
      <c r="AF32" s="219"/>
      <c r="AG32" s="219"/>
      <c r="AH32" s="219"/>
      <c r="AI32" s="219"/>
      <c r="AN32" s="237" t="str">
        <f t="shared" si="6"/>
        <v/>
      </c>
      <c r="AO32" s="312">
        <f>IFERROR(LOOKUP(AN32,Revegetation_Installation_Costs[[LOOKUP]:[Av. kgCO2eq]]),0)*U8</f>
        <v>0</v>
      </c>
      <c r="AP32" s="312"/>
      <c r="AQ32" s="237">
        <f ca="1">COUNTA(OFFSET('Revegetation Data'!$B$27,1,MATCH('Carbon Costs Calculator'!$S8,'Revegetation Data'!$B$27:$R$27,0)-1,9))</f>
        <v>1</v>
      </c>
      <c r="AR32" s="238">
        <f ca="1">COUNTA(OFFSET('Revegetation Data'!$B$82,1,MATCH('Carbon Costs Calculator'!$S8,'Revegetation Data'!$B$82:$R$82,0)-1,7))</f>
        <v>1</v>
      </c>
    </row>
    <row r="33" spans="1:50" ht="15" customHeight="1">
      <c r="A33" s="219"/>
      <c r="B33" s="219"/>
      <c r="C33" s="219"/>
      <c r="F33" s="219"/>
      <c r="H33" s="219"/>
      <c r="I33" s="219"/>
      <c r="J33" s="219"/>
      <c r="K33" s="219"/>
      <c r="L33" s="219"/>
      <c r="O33" s="219"/>
      <c r="Q33" s="219"/>
      <c r="R33" s="219"/>
      <c r="S33" s="219"/>
      <c r="T33" s="219"/>
      <c r="U33" s="219"/>
      <c r="Z33" s="219"/>
      <c r="AA33" s="219"/>
      <c r="AB33" s="219"/>
      <c r="AC33" s="219"/>
      <c r="AD33" s="219"/>
      <c r="AE33" s="219"/>
      <c r="AF33" s="219"/>
      <c r="AG33" s="219"/>
      <c r="AH33" s="219"/>
      <c r="AI33" s="219"/>
      <c r="AN33" s="237" t="str">
        <f t="shared" si="6"/>
        <v/>
      </c>
      <c r="AO33" s="312">
        <f>IFERROR(LOOKUP(AN33,Revegetation_Installation_Costs[[LOOKUP]:[Av. kgCO2eq]]),0)*U9</f>
        <v>0</v>
      </c>
      <c r="AP33" s="312"/>
      <c r="AQ33" s="237">
        <f ca="1">COUNTA(OFFSET('Revegetation Data'!$B$27,1,MATCH('Carbon Costs Calculator'!$S9,'Revegetation Data'!$B$27:$R$27,0)-1,9))</f>
        <v>1</v>
      </c>
      <c r="AR33" s="238">
        <f ca="1">COUNTA(OFFSET('Revegetation Data'!$B$82,1,MATCH('Carbon Costs Calculator'!$S9,'Revegetation Data'!$B$82:$R$82,0)-1,7))</f>
        <v>1</v>
      </c>
    </row>
    <row r="34" spans="1:50" ht="15" customHeight="1">
      <c r="A34" s="219"/>
      <c r="B34" s="219"/>
      <c r="C34" s="219"/>
      <c r="F34" s="219"/>
      <c r="H34" s="219"/>
      <c r="I34" s="219"/>
      <c r="J34" s="219"/>
      <c r="K34" s="219"/>
      <c r="L34" s="219"/>
      <c r="O34" s="219"/>
      <c r="Q34" s="219"/>
      <c r="R34" s="219"/>
      <c r="S34" s="219"/>
      <c r="T34" s="219"/>
      <c r="U34" s="219"/>
      <c r="Z34" s="219"/>
      <c r="AA34" s="219"/>
      <c r="AB34" s="219"/>
      <c r="AC34" s="219"/>
      <c r="AD34" s="219"/>
      <c r="AE34" s="219"/>
      <c r="AF34" s="219"/>
      <c r="AG34" s="219"/>
      <c r="AH34" s="219"/>
      <c r="AI34" s="219"/>
      <c r="AN34" s="237" t="str">
        <f t="shared" si="6"/>
        <v/>
      </c>
      <c r="AO34" s="312">
        <f>IFERROR(LOOKUP(AN34,Revegetation_Installation_Costs[[LOOKUP]:[Av. kgCO2eq]]),0)*U10</f>
        <v>0</v>
      </c>
      <c r="AP34" s="312"/>
      <c r="AQ34" s="237">
        <f ca="1">COUNTA(OFFSET('Revegetation Data'!$B$27,1,MATCH('Carbon Costs Calculator'!$S10,'Revegetation Data'!$B$27:$R$27,0)-1,9))</f>
        <v>1</v>
      </c>
      <c r="AR34" s="238">
        <f ca="1">COUNTA(OFFSET('Revegetation Data'!$B$82,1,MATCH('Carbon Costs Calculator'!$S10,'Revegetation Data'!$B$82:$R$82,0)-1,7))</f>
        <v>1</v>
      </c>
    </row>
    <row r="35" spans="1:50" ht="15" customHeight="1">
      <c r="A35" s="219"/>
      <c r="B35" s="219"/>
      <c r="C35" s="219"/>
      <c r="F35" s="219"/>
      <c r="H35" s="219"/>
      <c r="I35" s="219"/>
      <c r="J35" s="219"/>
      <c r="K35" s="219"/>
      <c r="L35" s="219"/>
      <c r="O35" s="219"/>
      <c r="Q35" s="219"/>
      <c r="R35" s="219"/>
      <c r="S35" s="219"/>
      <c r="T35" s="219"/>
      <c r="U35" s="219"/>
      <c r="Z35" s="219"/>
      <c r="AA35" s="219"/>
      <c r="AB35" s="219"/>
      <c r="AC35" s="219"/>
      <c r="AD35" s="219"/>
      <c r="AE35" s="219"/>
      <c r="AF35" s="219"/>
      <c r="AG35" s="219"/>
      <c r="AH35" s="219"/>
      <c r="AI35" s="219"/>
      <c r="AN35" s="237" t="str">
        <f t="shared" si="6"/>
        <v/>
      </c>
      <c r="AO35" s="312">
        <f>IFERROR(LOOKUP(AN35,Revegetation_Installation_Costs[[LOOKUP]:[Av. kgCO2eq]]),0)*U11</f>
        <v>0</v>
      </c>
      <c r="AP35" s="312"/>
      <c r="AQ35" s="237">
        <f ca="1">COUNTA(OFFSET('Revegetation Data'!$B$27,1,MATCH('Carbon Costs Calculator'!$S11,'Revegetation Data'!$B$27:$R$27,0)-1,9))</f>
        <v>1</v>
      </c>
      <c r="AR35" s="238">
        <f ca="1">COUNTA(OFFSET('Revegetation Data'!$B$82,1,MATCH('Carbon Costs Calculator'!$S11,'Revegetation Data'!$B$82:$R$82,0)-1,7))</f>
        <v>1</v>
      </c>
    </row>
    <row r="36" spans="1:50" ht="15" customHeight="1">
      <c r="A36" s="219"/>
      <c r="B36" s="219"/>
      <c r="C36" s="219"/>
      <c r="F36" s="219"/>
      <c r="H36" s="219"/>
      <c r="I36" s="219"/>
      <c r="J36" s="219"/>
      <c r="K36" s="219"/>
      <c r="L36" s="219"/>
      <c r="O36" s="219"/>
      <c r="Q36" s="219"/>
      <c r="R36" s="219"/>
      <c r="S36" s="219"/>
      <c r="T36" s="219"/>
      <c r="U36" s="219"/>
      <c r="Z36" s="219"/>
      <c r="AA36" s="219"/>
      <c r="AB36" s="219"/>
      <c r="AC36" s="219"/>
      <c r="AD36" s="219"/>
      <c r="AE36" s="219"/>
      <c r="AF36" s="219"/>
      <c r="AG36" s="219"/>
      <c r="AH36" s="219"/>
      <c r="AI36" s="219"/>
      <c r="AN36" s="237" t="str">
        <f t="shared" si="6"/>
        <v/>
      </c>
      <c r="AO36" s="312">
        <f>IFERROR(LOOKUP(AN36,Revegetation_Installation_Costs[[LOOKUP]:[Av. kgCO2eq]]),0)*U12</f>
        <v>0</v>
      </c>
      <c r="AP36" s="312"/>
      <c r="AQ36" s="237">
        <f ca="1">COUNTA(OFFSET('Revegetation Data'!$B$27,1,MATCH('Carbon Costs Calculator'!$S12,'Revegetation Data'!$B$27:$R$27,0)-1,9))</f>
        <v>1</v>
      </c>
      <c r="AR36" s="238">
        <f ca="1">COUNTA(OFFSET('Revegetation Data'!$B$82,1,MATCH('Carbon Costs Calculator'!$S12,'Revegetation Data'!$B$82:$R$82,0)-1,7))</f>
        <v>1</v>
      </c>
    </row>
    <row r="37" spans="1:50" ht="15" customHeight="1">
      <c r="A37" s="219"/>
      <c r="B37" s="219"/>
      <c r="C37" s="219"/>
      <c r="F37" s="219"/>
      <c r="H37" s="219"/>
      <c r="I37" s="219"/>
      <c r="J37" s="219"/>
      <c r="K37" s="219"/>
      <c r="L37" s="219"/>
      <c r="O37" s="219"/>
      <c r="Q37" s="219"/>
      <c r="R37" s="219"/>
      <c r="S37" s="219"/>
      <c r="T37" s="219"/>
      <c r="U37" s="219"/>
      <c r="Z37" s="219"/>
      <c r="AA37" s="219"/>
      <c r="AB37" s="219"/>
      <c r="AC37" s="219"/>
      <c r="AD37" s="219"/>
      <c r="AE37" s="219"/>
      <c r="AF37" s="219"/>
      <c r="AG37" s="219"/>
      <c r="AH37" s="219"/>
      <c r="AI37" s="219"/>
      <c r="AN37" s="237" t="str">
        <f t="shared" si="6"/>
        <v/>
      </c>
      <c r="AO37" s="312">
        <f>IFERROR(LOOKUP(AN37,Revegetation_Installation_Costs[[LOOKUP]:[Av. kgCO2eq]]),0)*U13</f>
        <v>0</v>
      </c>
      <c r="AP37" s="312"/>
      <c r="AQ37" s="237">
        <f ca="1">COUNTA(OFFSET('Revegetation Data'!$B$27,1,MATCH('Carbon Costs Calculator'!$S13,'Revegetation Data'!$B$27:$R$27,0)-1,9))</f>
        <v>1</v>
      </c>
      <c r="AR37" s="238">
        <f ca="1">COUNTA(OFFSET('Revegetation Data'!$B$82,1,MATCH('Carbon Costs Calculator'!$S13,'Revegetation Data'!$B$82:$R$82,0)-1,7))</f>
        <v>1</v>
      </c>
    </row>
    <row r="38" spans="1:50" ht="15" customHeight="1">
      <c r="A38" s="219"/>
      <c r="B38" s="219"/>
      <c r="C38" s="219"/>
      <c r="F38" s="219"/>
      <c r="H38" s="219"/>
      <c r="I38" s="219"/>
      <c r="J38" s="219"/>
      <c r="K38" s="219"/>
      <c r="L38" s="219"/>
      <c r="O38" s="219"/>
      <c r="Q38" s="219"/>
      <c r="R38" s="219"/>
      <c r="S38" s="219"/>
      <c r="T38" s="219"/>
      <c r="U38" s="219"/>
      <c r="Z38" s="219"/>
      <c r="AA38" s="219"/>
      <c r="AB38" s="219"/>
      <c r="AC38" s="219"/>
      <c r="AD38" s="219"/>
      <c r="AE38" s="219"/>
      <c r="AF38" s="219"/>
      <c r="AG38" s="219"/>
      <c r="AH38" s="219"/>
      <c r="AI38" s="219"/>
      <c r="AN38" s="237" t="str">
        <f t="shared" si="6"/>
        <v/>
      </c>
      <c r="AO38" s="312">
        <f>IFERROR(LOOKUP(AN38,Revegetation_Installation_Costs[[LOOKUP]:[Av. kgCO2eq]]),0)*U14</f>
        <v>0</v>
      </c>
      <c r="AP38" s="312"/>
      <c r="AQ38" s="237">
        <f ca="1">COUNTA(OFFSET('Revegetation Data'!$B$27,1,MATCH('Carbon Costs Calculator'!$S14,'Revegetation Data'!$B$27:$R$27,0)-1,9))</f>
        <v>1</v>
      </c>
      <c r="AR38" s="238">
        <f ca="1">COUNTA(OFFSET('Revegetation Data'!$B$82,1,MATCH('Carbon Costs Calculator'!$S14,'Revegetation Data'!$B$82:$R$82,0)-1,7))</f>
        <v>1</v>
      </c>
      <c r="AW38" s="240"/>
      <c r="AX38" s="240"/>
    </row>
    <row r="39" spans="1:50" ht="15" customHeight="1">
      <c r="A39" s="219"/>
      <c r="B39" s="219"/>
      <c r="C39" s="219"/>
      <c r="F39" s="219"/>
      <c r="H39" s="219"/>
      <c r="I39" s="219"/>
      <c r="J39" s="219"/>
      <c r="K39" s="219"/>
      <c r="L39" s="219"/>
      <c r="O39" s="219"/>
      <c r="Q39" s="219"/>
      <c r="R39" s="219"/>
      <c r="S39" s="219"/>
      <c r="T39" s="219"/>
      <c r="U39" s="219"/>
      <c r="Z39" s="219"/>
      <c r="AA39" s="219"/>
      <c r="AB39" s="219"/>
      <c r="AC39" s="219"/>
      <c r="AD39" s="219"/>
      <c r="AE39" s="219"/>
      <c r="AF39" s="219"/>
      <c r="AG39" s="219"/>
      <c r="AH39" s="219"/>
      <c r="AI39" s="219"/>
      <c r="AW39" s="241"/>
      <c r="AX39" s="241"/>
    </row>
    <row r="40" spans="1:50" ht="15" customHeight="1">
      <c r="A40" s="219"/>
      <c r="B40" s="219"/>
      <c r="C40" s="219"/>
      <c r="F40" s="219"/>
      <c r="H40" s="219"/>
      <c r="I40" s="219"/>
      <c r="J40" s="219"/>
      <c r="K40" s="219"/>
      <c r="L40" s="219"/>
      <c r="O40" s="219"/>
      <c r="Q40" s="219"/>
      <c r="R40" s="219"/>
      <c r="S40" s="219"/>
      <c r="T40" s="219"/>
      <c r="U40" s="219"/>
      <c r="Z40" s="219"/>
      <c r="AA40" s="219"/>
      <c r="AB40" s="219"/>
      <c r="AC40" s="219"/>
      <c r="AD40" s="219"/>
      <c r="AE40" s="219"/>
      <c r="AF40" s="219"/>
      <c r="AG40" s="219"/>
      <c r="AH40" s="219"/>
      <c r="AI40" s="219"/>
      <c r="AN40" s="242" t="s">
        <v>144</v>
      </c>
      <c r="AO40" s="242" t="s">
        <v>145</v>
      </c>
      <c r="AP40" s="242" t="s">
        <v>146</v>
      </c>
      <c r="AW40" s="241"/>
      <c r="AX40" s="241"/>
    </row>
    <row r="41" spans="1:50" ht="15" customHeight="1">
      <c r="A41" s="219"/>
      <c r="B41" s="219"/>
      <c r="C41" s="219"/>
      <c r="F41" s="219"/>
      <c r="H41" s="219"/>
      <c r="I41" s="219"/>
      <c r="J41" s="219"/>
      <c r="K41" s="219"/>
      <c r="L41" s="219"/>
      <c r="O41" s="219"/>
      <c r="Q41" s="219"/>
      <c r="R41" s="219"/>
      <c r="S41" s="219"/>
      <c r="T41" s="219"/>
      <c r="U41" s="219"/>
      <c r="Z41" s="219"/>
      <c r="AA41" s="219"/>
      <c r="AB41" s="219"/>
      <c r="AC41" s="219"/>
      <c r="AD41" s="219"/>
      <c r="AE41" s="219"/>
      <c r="AF41" s="219"/>
      <c r="AG41" s="219"/>
      <c r="AH41" s="219"/>
      <c r="AI41" s="219"/>
      <c r="AN41" s="237" t="s">
        <v>147</v>
      </c>
      <c r="AO41" s="243" cm="1">
        <f t="array" ref="AO41">((AD6+AD7)*Project_Vehicle_Costs[Argocat/Softrack])*AL6</f>
        <v>0</v>
      </c>
      <c r="AP41" s="243">
        <f>AO41</f>
        <v>0</v>
      </c>
      <c r="AW41" s="241"/>
      <c r="AX41" s="241"/>
    </row>
    <row r="42" spans="1:50" ht="15" customHeight="1">
      <c r="A42" s="219"/>
      <c r="B42" s="219"/>
      <c r="C42" s="219"/>
      <c r="F42" s="219"/>
      <c r="H42" s="219"/>
      <c r="I42" s="219"/>
      <c r="J42" s="219"/>
      <c r="K42" s="219"/>
      <c r="L42" s="219"/>
      <c r="O42" s="219"/>
      <c r="Q42" s="219"/>
      <c r="R42" s="219"/>
      <c r="S42" s="219"/>
      <c r="T42" s="219"/>
      <c r="U42" s="219"/>
      <c r="Z42" s="219"/>
      <c r="AA42" s="219"/>
      <c r="AB42" s="219"/>
      <c r="AC42" s="219"/>
      <c r="AD42" s="219"/>
      <c r="AE42" s="219"/>
      <c r="AF42" s="219"/>
      <c r="AG42" s="219"/>
      <c r="AH42" s="219"/>
      <c r="AI42" s="219"/>
      <c r="AN42" s="237" t="s">
        <v>148</v>
      </c>
      <c r="AO42" s="243" cm="1">
        <f t="array" ref="AO42">((AD13*Project_Vehicle_Costs[Argocat/Softrack])*(AD6+AD7))*AL6</f>
        <v>0</v>
      </c>
      <c r="AP42" s="243">
        <f>AO42</f>
        <v>0</v>
      </c>
      <c r="AW42" s="241"/>
      <c r="AX42" s="241"/>
    </row>
    <row r="43" spans="1:50" ht="15" customHeight="1">
      <c r="A43" s="219"/>
      <c r="B43" s="219"/>
      <c r="C43" s="219"/>
      <c r="F43" s="219"/>
      <c r="H43" s="219"/>
      <c r="I43" s="219"/>
      <c r="J43" s="219"/>
      <c r="K43" s="219"/>
      <c r="L43" s="219"/>
      <c r="O43" s="219"/>
      <c r="Q43" s="219"/>
      <c r="R43" s="219"/>
      <c r="S43" s="219"/>
      <c r="T43" s="219"/>
      <c r="U43" s="219"/>
      <c r="Z43" s="219"/>
      <c r="AA43" s="219"/>
      <c r="AB43" s="219"/>
      <c r="AC43" s="219"/>
      <c r="AD43" s="219"/>
      <c r="AE43" s="219"/>
      <c r="AF43" s="219"/>
      <c r="AG43" s="219"/>
      <c r="AH43" s="219"/>
      <c r="AI43" s="219"/>
      <c r="AN43" s="237" t="s">
        <v>149</v>
      </c>
      <c r="AO43" s="243" cm="1">
        <f t="array" ref="AO43">(AD4*AD5)*Project_Vehicle_Costs[Passenger Vehicle]</f>
        <v>0</v>
      </c>
      <c r="AP43" s="321" cm="1">
        <f t="array" ref="AP43">(((AD5-(AD6+AD7))*(AD4*Project_Vehicle_Costs[Passenger Vehicle])*'Carbon Costs Calculator'!AL6)*0.25)+(AD6*(AD4*Project_Vehicle_Costs[Passenger Vehicle + Trailer]))+(AD7*(AD4*Project_Vehicle_Costs[Passenger Vehicle + Trailer]))</f>
        <v>0</v>
      </c>
      <c r="AW43" s="241"/>
      <c r="AX43" s="241"/>
    </row>
    <row r="44" spans="1:50" ht="15" customHeight="1">
      <c r="A44" s="219"/>
      <c r="B44" s="219"/>
      <c r="C44" s="219"/>
      <c r="F44" s="219"/>
      <c r="H44" s="219"/>
      <c r="I44" s="219"/>
      <c r="J44" s="219"/>
      <c r="K44" s="219"/>
      <c r="L44" s="219"/>
      <c r="O44" s="219"/>
      <c r="Q44" s="219"/>
      <c r="R44" s="219"/>
      <c r="S44" s="219"/>
      <c r="T44" s="219"/>
      <c r="U44" s="219"/>
      <c r="Z44" s="219"/>
      <c r="AA44" s="219"/>
      <c r="AB44" s="219"/>
      <c r="AC44" s="219"/>
      <c r="AD44" s="219"/>
      <c r="AE44" s="219"/>
      <c r="AF44" s="219"/>
      <c r="AG44" s="219"/>
      <c r="AH44" s="219"/>
      <c r="AI44" s="219"/>
      <c r="AN44" s="237" t="s">
        <v>150</v>
      </c>
      <c r="AO44" s="243" cm="1">
        <f t="array" ref="AO44">(AD4*AD6)*Project_Vehicle_Costs[Passenger Vehicle + Trailer]</f>
        <v>0</v>
      </c>
      <c r="AP44" s="321"/>
      <c r="AW44" s="241"/>
      <c r="AX44" s="241"/>
    </row>
    <row r="45" spans="1:50" ht="15" customHeight="1">
      <c r="A45" s="219"/>
      <c r="B45" s="219"/>
      <c r="C45" s="219"/>
      <c r="F45" s="219"/>
      <c r="H45" s="219"/>
      <c r="I45" s="219"/>
      <c r="J45" s="219"/>
      <c r="K45" s="219"/>
      <c r="L45" s="219"/>
      <c r="O45" s="219"/>
      <c r="Q45" s="219"/>
      <c r="R45" s="219"/>
      <c r="S45" s="219"/>
      <c r="T45" s="219"/>
      <c r="U45" s="219"/>
      <c r="Z45" s="219"/>
      <c r="AA45" s="219"/>
      <c r="AB45" s="219"/>
      <c r="AC45" s="219"/>
      <c r="AD45" s="219"/>
      <c r="AE45" s="219"/>
      <c r="AF45" s="219"/>
      <c r="AG45" s="219"/>
      <c r="AH45" s="219"/>
      <c r="AI45" s="219"/>
      <c r="AN45" s="237" t="s">
        <v>151</v>
      </c>
      <c r="AO45" s="243" cm="1">
        <f t="array" ref="AO45">(AD4*AD7)*Project_Vehicle_Costs[Passenger Vehicle + Trailer]</f>
        <v>0</v>
      </c>
      <c r="AP45" s="321"/>
      <c r="AW45" s="241"/>
      <c r="AX45" s="241"/>
    </row>
    <row r="46" spans="1:50" ht="15" customHeight="1">
      <c r="A46" s="219"/>
      <c r="B46" s="219"/>
      <c r="C46" s="219"/>
      <c r="F46" s="219"/>
      <c r="H46" s="219"/>
      <c r="I46" s="219"/>
      <c r="J46" s="219"/>
      <c r="K46" s="219"/>
      <c r="L46" s="219"/>
      <c r="O46" s="219"/>
      <c r="Q46" s="219"/>
      <c r="R46" s="219"/>
      <c r="S46" s="219"/>
      <c r="T46" s="219"/>
      <c r="U46" s="219"/>
      <c r="Z46" s="219"/>
      <c r="AA46" s="219"/>
      <c r="AB46" s="219"/>
      <c r="AC46" s="219"/>
      <c r="AD46" s="219"/>
      <c r="AE46" s="219"/>
      <c r="AF46" s="219"/>
      <c r="AG46" s="219"/>
      <c r="AH46" s="219"/>
      <c r="AI46" s="219"/>
      <c r="AN46" s="237" t="s">
        <v>152</v>
      </c>
      <c r="AO46" s="243" cm="1">
        <f t="array" ref="AO46">IFERROR(AD4 * Project_Vehicle_Costs[Artic Lorry] * INT((AD8 + 1) / 2), 0)+((Project_Vehicle_Costs[LPGV]*'Carbon Costs Calculator'!AD8)*'Carbon Costs Calculator'!AD13)</f>
        <v>0</v>
      </c>
      <c r="AP46" s="243">
        <f>AO46</f>
        <v>0</v>
      </c>
      <c r="AW46" s="241"/>
      <c r="AX46" s="241"/>
    </row>
    <row r="47" spans="1:50" ht="15" customHeight="1">
      <c r="A47" s="219"/>
      <c r="B47" s="219"/>
      <c r="C47" s="219"/>
      <c r="F47" s="219"/>
      <c r="H47" s="219"/>
      <c r="I47" s="219"/>
      <c r="J47" s="219"/>
      <c r="K47" s="219"/>
      <c r="L47" s="219"/>
      <c r="O47" s="219"/>
      <c r="Q47" s="219"/>
      <c r="R47" s="219"/>
      <c r="S47" s="219"/>
      <c r="T47" s="219"/>
      <c r="U47" s="219"/>
      <c r="Z47" s="219"/>
      <c r="AA47" s="219"/>
      <c r="AB47" s="219"/>
      <c r="AC47" s="219"/>
      <c r="AD47" s="219"/>
      <c r="AE47" s="219"/>
      <c r="AF47" s="219"/>
      <c r="AG47" s="219"/>
      <c r="AH47" s="219"/>
      <c r="AI47" s="219"/>
      <c r="AN47" s="237" t="s">
        <v>153</v>
      </c>
      <c r="AO47" s="243" cm="1">
        <f t="array" ref="AO47">(AD9*Project_Vehicle_Costs[Other LPGV])*AD4+((Project_Vehicle_Costs[Other LPGV]*'Carbon Costs Calculator'!AD8)*'Carbon Costs Calculator'!AD13)</f>
        <v>0</v>
      </c>
      <c r="AP47" s="243">
        <f>AO47</f>
        <v>0</v>
      </c>
    </row>
    <row r="48" spans="1:50" ht="15" customHeight="1">
      <c r="A48" s="219"/>
      <c r="B48" s="219"/>
      <c r="C48" s="219"/>
      <c r="F48" s="219"/>
      <c r="H48" s="219"/>
      <c r="I48" s="219"/>
      <c r="J48" s="219"/>
      <c r="K48" s="219"/>
      <c r="L48" s="219"/>
      <c r="O48" s="219"/>
      <c r="Q48" s="219"/>
      <c r="R48" s="219"/>
      <c r="S48" s="219"/>
      <c r="T48" s="219"/>
      <c r="U48" s="219"/>
      <c r="Z48" s="219"/>
      <c r="AA48" s="219"/>
      <c r="AB48" s="219"/>
      <c r="AC48" s="219"/>
      <c r="AD48" s="219"/>
      <c r="AE48" s="219"/>
      <c r="AF48" s="219"/>
      <c r="AG48" s="219"/>
      <c r="AH48" s="219"/>
      <c r="AI48" s="219"/>
      <c r="AN48" s="320" t="s">
        <v>154</v>
      </c>
      <c r="AO48" s="321" cm="1">
        <f t="array" ref="AO48">(AD11*AD10)*Project_Vehicle_Costs[Helicopter]</f>
        <v>0</v>
      </c>
      <c r="AP48" s="321">
        <f>AO48</f>
        <v>0</v>
      </c>
    </row>
    <row r="49" spans="1:50" ht="15" customHeight="1">
      <c r="A49" s="219"/>
      <c r="B49" s="219"/>
      <c r="C49" s="219"/>
      <c r="F49" s="219"/>
      <c r="H49" s="219"/>
      <c r="I49" s="219"/>
      <c r="J49" s="219"/>
      <c r="K49" s="219"/>
      <c r="L49" s="219"/>
      <c r="O49" s="219"/>
      <c r="Q49" s="219"/>
      <c r="R49" s="219"/>
      <c r="S49" s="219"/>
      <c r="T49" s="219"/>
      <c r="U49" s="219"/>
      <c r="Z49" s="219"/>
      <c r="AA49" s="219"/>
      <c r="AB49" s="219"/>
      <c r="AC49" s="219"/>
      <c r="AD49" s="219"/>
      <c r="AE49" s="219"/>
      <c r="AF49" s="219"/>
      <c r="AG49" s="219"/>
      <c r="AH49" s="219"/>
      <c r="AI49" s="219"/>
      <c r="AN49" s="320"/>
      <c r="AO49" s="321"/>
      <c r="AP49" s="321"/>
    </row>
    <row r="50" spans="1:50" ht="15" customHeight="1">
      <c r="A50" s="219"/>
      <c r="B50" s="219"/>
      <c r="C50" s="219"/>
      <c r="F50" s="219"/>
      <c r="H50" s="219"/>
      <c r="I50" s="219"/>
      <c r="J50" s="219"/>
      <c r="K50" s="219"/>
      <c r="L50" s="219"/>
      <c r="O50" s="219"/>
      <c r="Q50" s="219"/>
      <c r="R50" s="219"/>
      <c r="S50" s="219"/>
      <c r="T50" s="219"/>
      <c r="U50" s="219"/>
      <c r="Z50" s="219"/>
      <c r="AA50" s="219"/>
      <c r="AB50" s="219"/>
      <c r="AC50" s="219"/>
      <c r="AD50" s="219"/>
      <c r="AE50" s="219"/>
      <c r="AF50" s="219"/>
      <c r="AG50" s="219"/>
      <c r="AH50" s="219"/>
      <c r="AI50" s="219"/>
    </row>
    <row r="51" spans="1:50" ht="15" customHeight="1">
      <c r="A51" s="219"/>
      <c r="B51" s="219"/>
      <c r="C51" s="219"/>
      <c r="F51" s="219"/>
      <c r="H51" s="219"/>
      <c r="I51" s="219"/>
      <c r="J51" s="219"/>
      <c r="K51" s="219"/>
      <c r="L51" s="219"/>
      <c r="O51" s="219"/>
      <c r="Q51" s="219"/>
      <c r="R51" s="219"/>
      <c r="S51" s="219"/>
      <c r="T51" s="219"/>
      <c r="U51" s="219"/>
      <c r="Z51" s="219"/>
      <c r="AA51" s="219"/>
      <c r="AB51" s="219"/>
      <c r="AC51" s="219"/>
      <c r="AD51" s="219"/>
      <c r="AE51" s="219"/>
      <c r="AF51" s="219"/>
      <c r="AG51" s="219"/>
      <c r="AH51" s="219"/>
      <c r="AI51" s="219"/>
      <c r="AN51" s="244" t="s">
        <v>118</v>
      </c>
      <c r="AO51" s="313" t="s">
        <v>155</v>
      </c>
      <c r="AP51" s="313"/>
    </row>
    <row r="52" spans="1:50" ht="15" customHeight="1">
      <c r="A52" s="219"/>
      <c r="B52" s="219"/>
      <c r="C52" s="219"/>
      <c r="F52" s="219"/>
      <c r="H52" s="219"/>
      <c r="I52" s="219"/>
      <c r="J52" s="219"/>
      <c r="K52" s="219"/>
      <c r="L52" s="219"/>
      <c r="O52" s="219"/>
      <c r="Q52" s="219"/>
      <c r="R52" s="219"/>
      <c r="S52" s="219"/>
      <c r="T52" s="219"/>
      <c r="U52" s="219"/>
      <c r="Z52" s="219"/>
      <c r="AA52" s="219"/>
      <c r="AB52" s="219"/>
      <c r="AC52" s="219"/>
      <c r="AD52" s="219"/>
      <c r="AE52" s="219"/>
      <c r="AF52" s="219"/>
      <c r="AG52" s="219"/>
      <c r="AH52" s="219"/>
      <c r="AI52" s="219"/>
      <c r="AN52" s="237" t="str" cm="1">
        <f t="array" ref="AN52:AN58">AN5:AN11</f>
        <v>Stone Dam&lt;1m (1 unit)Helicopter - Assisted</v>
      </c>
      <c r="AO52" s="312">
        <f>IFERROR(LOOKUP(AN5,Est_Project_Delivery_Time[]),0)*C5</f>
        <v>64</v>
      </c>
      <c r="AP52" s="312"/>
    </row>
    <row r="53" spans="1:50" ht="15" customHeight="1">
      <c r="A53" s="219"/>
      <c r="B53" s="219"/>
      <c r="C53" s="219"/>
      <c r="F53" s="219"/>
      <c r="H53" s="219"/>
      <c r="I53" s="219"/>
      <c r="J53" s="219"/>
      <c r="K53" s="219"/>
      <c r="L53" s="219"/>
      <c r="O53" s="219"/>
      <c r="Q53" s="219"/>
      <c r="R53" s="219"/>
      <c r="S53" s="219"/>
      <c r="T53" s="219"/>
      <c r="U53" s="219"/>
      <c r="Z53" s="219"/>
      <c r="AA53" s="219"/>
      <c r="AB53" s="219"/>
      <c r="AC53" s="219"/>
      <c r="AD53" s="219"/>
      <c r="AE53" s="219"/>
      <c r="AF53" s="219"/>
      <c r="AG53" s="219"/>
      <c r="AH53" s="219"/>
      <c r="AI53" s="219"/>
      <c r="AN53" s="237" t="str">
        <v/>
      </c>
      <c r="AO53" s="312">
        <f>IFERROR(LOOKUP(AN6,Est_Project_Delivery_Time[]),0)*C6</f>
        <v>0</v>
      </c>
      <c r="AP53" s="312"/>
    </row>
    <row r="54" spans="1:50" ht="15" customHeight="1">
      <c r="A54" s="219"/>
      <c r="B54" s="219"/>
      <c r="C54" s="219"/>
      <c r="F54" s="219"/>
      <c r="H54" s="219"/>
      <c r="I54" s="219"/>
      <c r="J54" s="219"/>
      <c r="K54" s="219"/>
      <c r="L54" s="219"/>
      <c r="O54" s="219"/>
      <c r="Q54" s="219"/>
      <c r="R54" s="219"/>
      <c r="S54" s="219"/>
      <c r="T54" s="219"/>
      <c r="U54" s="219"/>
      <c r="Z54" s="219"/>
      <c r="AA54" s="219"/>
      <c r="AB54" s="219"/>
      <c r="AC54" s="219"/>
      <c r="AD54" s="219"/>
      <c r="AE54" s="219"/>
      <c r="AF54" s="219"/>
      <c r="AG54" s="219"/>
      <c r="AH54" s="219"/>
      <c r="AI54" s="219"/>
      <c r="AN54" s="237" t="str">
        <v/>
      </c>
      <c r="AO54" s="312">
        <f>IFERROR(LOOKUP(AN7,Est_Project_Delivery_Time[]),0)*C7</f>
        <v>0</v>
      </c>
      <c r="AP54" s="312"/>
      <c r="AW54" s="241"/>
      <c r="AX54" s="241"/>
    </row>
    <row r="55" spans="1:50" ht="15" customHeight="1">
      <c r="A55" s="219"/>
      <c r="B55" s="219"/>
      <c r="C55" s="219"/>
      <c r="F55" s="219"/>
      <c r="H55" s="219"/>
      <c r="I55" s="219"/>
      <c r="J55" s="219"/>
      <c r="K55" s="219"/>
      <c r="L55" s="219"/>
      <c r="O55" s="219"/>
      <c r="Q55" s="219"/>
      <c r="R55" s="219"/>
      <c r="S55" s="219"/>
      <c r="T55" s="219"/>
      <c r="U55" s="219"/>
      <c r="Z55" s="219"/>
      <c r="AA55" s="219"/>
      <c r="AB55" s="219"/>
      <c r="AC55" s="219"/>
      <c r="AD55" s="219"/>
      <c r="AE55" s="219"/>
      <c r="AF55" s="219"/>
      <c r="AG55" s="219"/>
      <c r="AH55" s="219"/>
      <c r="AI55" s="219"/>
      <c r="AN55" s="237" t="str">
        <v/>
      </c>
      <c r="AO55" s="312">
        <f>IFERROR(LOOKUP(AN8,Est_Project_Delivery_Time[]),0)*C8</f>
        <v>0</v>
      </c>
      <c r="AP55" s="312"/>
      <c r="AW55" s="241"/>
      <c r="AX55" s="241"/>
    </row>
    <row r="56" spans="1:50" ht="15" customHeight="1">
      <c r="A56" s="219"/>
      <c r="B56" s="219"/>
      <c r="C56" s="219"/>
      <c r="F56" s="219"/>
      <c r="H56" s="219"/>
      <c r="I56" s="219"/>
      <c r="J56" s="219"/>
      <c r="K56" s="219"/>
      <c r="L56" s="219"/>
      <c r="O56" s="219"/>
      <c r="Q56" s="219"/>
      <c r="R56" s="219"/>
      <c r="S56" s="219"/>
      <c r="T56" s="219"/>
      <c r="U56" s="219"/>
      <c r="Z56" s="219"/>
      <c r="AA56" s="219"/>
      <c r="AB56" s="219"/>
      <c r="AC56" s="219"/>
      <c r="AD56" s="219"/>
      <c r="AE56" s="219"/>
      <c r="AF56" s="219"/>
      <c r="AG56" s="219"/>
      <c r="AH56" s="219"/>
      <c r="AI56" s="219"/>
      <c r="AN56" s="237" t="str">
        <v/>
      </c>
      <c r="AO56" s="312">
        <f>IFERROR(LOOKUP(AN9,Est_Project_Delivery_Time[]),0)*C9</f>
        <v>0</v>
      </c>
      <c r="AP56" s="312"/>
      <c r="AW56" s="241"/>
      <c r="AX56" s="241"/>
    </row>
    <row r="57" spans="1:50" ht="15" customHeight="1">
      <c r="A57" s="219"/>
      <c r="B57" s="219"/>
      <c r="C57" s="219"/>
      <c r="F57" s="219"/>
      <c r="H57" s="219"/>
      <c r="I57" s="219"/>
      <c r="J57" s="219"/>
      <c r="K57" s="219"/>
      <c r="L57" s="219"/>
      <c r="O57" s="219"/>
      <c r="Q57" s="219"/>
      <c r="R57" s="219"/>
      <c r="S57" s="219"/>
      <c r="T57" s="219"/>
      <c r="U57" s="219"/>
      <c r="Z57" s="219"/>
      <c r="AA57" s="219"/>
      <c r="AB57" s="219"/>
      <c r="AC57" s="219"/>
      <c r="AD57" s="219"/>
      <c r="AE57" s="219"/>
      <c r="AF57" s="219"/>
      <c r="AG57" s="219"/>
      <c r="AH57" s="219"/>
      <c r="AI57" s="219"/>
      <c r="AN57" s="237" t="str">
        <v/>
      </c>
      <c r="AO57" s="312">
        <f>IFERROR(LOOKUP(AN10,Est_Project_Delivery_Time[]),0)*C10</f>
        <v>0</v>
      </c>
      <c r="AP57" s="312"/>
      <c r="AW57" s="241"/>
      <c r="AX57" s="241"/>
    </row>
    <row r="58" spans="1:50" ht="15" customHeight="1">
      <c r="A58" s="219"/>
      <c r="B58" s="219"/>
      <c r="C58" s="219"/>
      <c r="F58" s="219"/>
      <c r="H58" s="219"/>
      <c r="I58" s="219"/>
      <c r="J58" s="219"/>
      <c r="K58" s="219"/>
      <c r="L58" s="219"/>
      <c r="O58" s="219"/>
      <c r="Q58" s="219"/>
      <c r="R58" s="219"/>
      <c r="S58" s="219"/>
      <c r="T58" s="219"/>
      <c r="U58" s="219"/>
      <c r="Z58" s="219"/>
      <c r="AA58" s="219"/>
      <c r="AB58" s="219"/>
      <c r="AC58" s="219"/>
      <c r="AD58" s="219"/>
      <c r="AE58" s="219"/>
      <c r="AF58" s="219"/>
      <c r="AG58" s="219"/>
      <c r="AH58" s="219"/>
      <c r="AI58" s="219"/>
      <c r="AN58" s="237" t="str">
        <v/>
      </c>
      <c r="AO58" s="312">
        <f>IFERROR(LOOKUP(AN11,Est_Project_Delivery_Time[]),0)*C11</f>
        <v>0</v>
      </c>
      <c r="AP58" s="312"/>
      <c r="AW58" s="241"/>
      <c r="AX58" s="241"/>
    </row>
    <row r="59" spans="1:50" ht="15" customHeight="1">
      <c r="A59" s="219"/>
      <c r="B59" s="219"/>
      <c r="C59" s="219"/>
      <c r="F59" s="219"/>
      <c r="H59" s="219"/>
      <c r="I59" s="219"/>
      <c r="J59" s="219"/>
      <c r="K59" s="219"/>
      <c r="L59" s="219"/>
      <c r="O59" s="219"/>
      <c r="Q59" s="219"/>
      <c r="R59" s="219"/>
      <c r="S59" s="219"/>
      <c r="T59" s="219"/>
      <c r="U59" s="219"/>
      <c r="Z59" s="219"/>
      <c r="AA59" s="219"/>
      <c r="AB59" s="219"/>
      <c r="AC59" s="219"/>
      <c r="AD59" s="219"/>
      <c r="AE59" s="219"/>
      <c r="AF59" s="219"/>
      <c r="AG59" s="219"/>
      <c r="AH59" s="219"/>
      <c r="AI59" s="219"/>
      <c r="AN59" s="237" t="str" cm="1">
        <f t="array" ref="AN59:AN65">AN17:AN23</f>
        <v/>
      </c>
      <c r="AO59" s="309">
        <f>IFERROR(LOOKUP(AN17,Est_Project_Delivery_Time[]),0)*L5</f>
        <v>0</v>
      </c>
      <c r="AP59" s="310"/>
      <c r="AW59" s="241"/>
      <c r="AX59" s="241"/>
    </row>
    <row r="60" spans="1:50" ht="15" customHeight="1">
      <c r="A60" s="219"/>
      <c r="B60" s="219"/>
      <c r="C60" s="219"/>
      <c r="F60" s="219"/>
      <c r="H60" s="219"/>
      <c r="I60" s="219"/>
      <c r="J60" s="219"/>
      <c r="K60" s="219"/>
      <c r="L60" s="219"/>
      <c r="O60" s="219"/>
      <c r="Q60" s="219"/>
      <c r="R60" s="219"/>
      <c r="S60" s="219"/>
      <c r="T60" s="219"/>
      <c r="U60" s="219"/>
      <c r="Z60" s="219"/>
      <c r="AA60" s="219"/>
      <c r="AB60" s="219"/>
      <c r="AC60" s="219"/>
      <c r="AD60" s="219"/>
      <c r="AE60" s="219"/>
      <c r="AF60" s="219"/>
      <c r="AG60" s="219"/>
      <c r="AH60" s="219"/>
      <c r="AI60" s="219"/>
      <c r="AN60" s="237" t="str">
        <v/>
      </c>
      <c r="AO60" s="309">
        <f>IFERROR(LOOKUP(AN18,Est_Project_Delivery_Time[]),0)*L6</f>
        <v>0</v>
      </c>
      <c r="AP60" s="310"/>
    </row>
    <row r="61" spans="1:50" ht="15" customHeight="1">
      <c r="A61" s="219"/>
      <c r="B61" s="219"/>
      <c r="C61" s="219"/>
      <c r="F61" s="219"/>
      <c r="H61" s="219"/>
      <c r="I61" s="219"/>
      <c r="J61" s="219"/>
      <c r="K61" s="219"/>
      <c r="L61" s="219"/>
      <c r="O61" s="219"/>
      <c r="Q61" s="219"/>
      <c r="R61" s="219"/>
      <c r="S61" s="219"/>
      <c r="T61" s="219"/>
      <c r="U61" s="219"/>
      <c r="Z61" s="219"/>
      <c r="AA61" s="219"/>
      <c r="AB61" s="219"/>
      <c r="AC61" s="219"/>
      <c r="AD61" s="219"/>
      <c r="AE61" s="219"/>
      <c r="AF61" s="219"/>
      <c r="AG61" s="219"/>
      <c r="AH61" s="219"/>
      <c r="AI61" s="219"/>
      <c r="AN61" s="237" t="str">
        <v/>
      </c>
      <c r="AO61" s="309">
        <f>IFERROR(LOOKUP(AN19,Est_Project_Delivery_Time[]),0)*L7</f>
        <v>0</v>
      </c>
      <c r="AP61" s="310"/>
      <c r="AW61" s="241"/>
      <c r="AX61" s="241"/>
    </row>
    <row r="62" spans="1:50" ht="15" customHeight="1">
      <c r="A62" s="219"/>
      <c r="B62" s="219"/>
      <c r="C62" s="219"/>
      <c r="F62" s="219"/>
      <c r="H62" s="219"/>
      <c r="I62" s="219"/>
      <c r="J62" s="219"/>
      <c r="K62" s="219"/>
      <c r="L62" s="219"/>
      <c r="O62" s="219"/>
      <c r="Q62" s="219"/>
      <c r="R62" s="219"/>
      <c r="S62" s="219"/>
      <c r="T62" s="219"/>
      <c r="U62" s="219"/>
      <c r="Z62" s="219"/>
      <c r="AA62" s="219"/>
      <c r="AB62" s="219"/>
      <c r="AC62" s="219"/>
      <c r="AD62" s="219"/>
      <c r="AE62" s="219"/>
      <c r="AF62" s="219"/>
      <c r="AG62" s="219"/>
      <c r="AH62" s="219"/>
      <c r="AI62" s="219"/>
      <c r="AN62" s="237" t="str">
        <v/>
      </c>
      <c r="AO62" s="309">
        <f>IFERROR(LOOKUP(AN20,Est_Project_Delivery_Time[]),0)*L8</f>
        <v>0</v>
      </c>
      <c r="AP62" s="310"/>
    </row>
    <row r="63" spans="1:50" ht="15" customHeight="1">
      <c r="A63" s="219"/>
      <c r="B63" s="219"/>
      <c r="C63" s="219"/>
      <c r="F63" s="219"/>
      <c r="H63" s="219"/>
      <c r="I63" s="219"/>
      <c r="J63" s="219"/>
      <c r="K63" s="219"/>
      <c r="L63" s="219"/>
      <c r="O63" s="219"/>
      <c r="Q63" s="219"/>
      <c r="R63" s="219"/>
      <c r="S63" s="219"/>
      <c r="T63" s="219"/>
      <c r="U63" s="219"/>
      <c r="Z63" s="219"/>
      <c r="AA63" s="219"/>
      <c r="AB63" s="219"/>
      <c r="AC63" s="219"/>
      <c r="AD63" s="219"/>
      <c r="AE63" s="219"/>
      <c r="AF63" s="219"/>
      <c r="AG63" s="219"/>
      <c r="AH63" s="219"/>
      <c r="AI63" s="219"/>
      <c r="AN63" s="237" t="str">
        <v/>
      </c>
      <c r="AO63" s="309">
        <f>IFERROR(LOOKUP(AN21,Est_Project_Delivery_Time[]),0)*L9</f>
        <v>0</v>
      </c>
      <c r="AP63" s="310"/>
    </row>
    <row r="64" spans="1:50" ht="15" customHeight="1">
      <c r="A64" s="219"/>
      <c r="B64" s="219"/>
      <c r="C64" s="219"/>
      <c r="F64" s="219"/>
      <c r="H64" s="219"/>
      <c r="I64" s="219"/>
      <c r="J64" s="219"/>
      <c r="K64" s="219"/>
      <c r="L64" s="219"/>
      <c r="O64" s="219"/>
      <c r="Q64" s="219"/>
      <c r="R64" s="219"/>
      <c r="S64" s="219"/>
      <c r="T64" s="219"/>
      <c r="U64" s="219"/>
      <c r="Z64" s="219"/>
      <c r="AA64" s="219"/>
      <c r="AB64" s="219"/>
      <c r="AC64" s="219"/>
      <c r="AD64" s="219"/>
      <c r="AE64" s="219"/>
      <c r="AF64" s="219"/>
      <c r="AG64" s="219"/>
      <c r="AH64" s="219"/>
      <c r="AI64" s="219"/>
      <c r="AN64" s="237" t="str">
        <v/>
      </c>
      <c r="AO64" s="309">
        <f>IFERROR(LOOKUP(AN22,Est_Project_Delivery_Time[]),0)*L10</f>
        <v>0</v>
      </c>
      <c r="AP64" s="310"/>
    </row>
    <row r="65" spans="1:42" ht="15" customHeight="1">
      <c r="A65" s="219"/>
      <c r="B65" s="219"/>
      <c r="C65" s="219"/>
      <c r="F65" s="219"/>
      <c r="H65" s="219"/>
      <c r="I65" s="219"/>
      <c r="J65" s="219"/>
      <c r="K65" s="219"/>
      <c r="L65" s="219"/>
      <c r="O65" s="219"/>
      <c r="Q65" s="219"/>
      <c r="R65" s="219"/>
      <c r="S65" s="219"/>
      <c r="T65" s="219"/>
      <c r="U65" s="219"/>
      <c r="Z65" s="219"/>
      <c r="AA65" s="219"/>
      <c r="AB65" s="219"/>
      <c r="AC65" s="219"/>
      <c r="AD65" s="219"/>
      <c r="AE65" s="219"/>
      <c r="AF65" s="219"/>
      <c r="AG65" s="219"/>
      <c r="AH65" s="219"/>
      <c r="AI65" s="219"/>
      <c r="AN65" s="237" t="str">
        <v/>
      </c>
      <c r="AO65" s="309">
        <f>IFERROR(LOOKUP(AN23,Est_Project_Delivery_Time[]),0)*L11</f>
        <v>0</v>
      </c>
      <c r="AP65" s="310"/>
    </row>
    <row r="66" spans="1:42" ht="15" customHeight="1">
      <c r="A66" s="219"/>
      <c r="B66" s="219"/>
      <c r="C66" s="219"/>
      <c r="F66" s="219"/>
      <c r="H66" s="219"/>
      <c r="I66" s="219"/>
      <c r="J66" s="219"/>
      <c r="K66" s="219"/>
      <c r="L66" s="219"/>
      <c r="O66" s="219"/>
      <c r="Q66" s="219"/>
      <c r="R66" s="219"/>
      <c r="S66" s="219"/>
      <c r="T66" s="219"/>
      <c r="U66" s="219"/>
      <c r="Z66" s="219"/>
      <c r="AA66" s="219"/>
      <c r="AB66" s="219"/>
      <c r="AC66" s="219"/>
      <c r="AD66" s="219"/>
      <c r="AE66" s="219"/>
      <c r="AF66" s="219"/>
      <c r="AG66" s="219"/>
      <c r="AH66" s="219"/>
      <c r="AI66" s="219"/>
      <c r="AN66" s="237" t="str" cm="1">
        <f t="array" ref="AN66:AN75">AN29:AN38</f>
        <v/>
      </c>
      <c r="AO66" s="309">
        <f>IFERROR(LOOKUP(AN29,Est_Project_Delivery_Time[]),0)*U5</f>
        <v>0</v>
      </c>
      <c r="AP66" s="310"/>
    </row>
    <row r="67" spans="1:42" ht="15" customHeight="1">
      <c r="A67" s="219"/>
      <c r="B67" s="219"/>
      <c r="C67" s="219"/>
      <c r="F67" s="219"/>
      <c r="H67" s="219"/>
      <c r="I67" s="219"/>
      <c r="J67" s="219"/>
      <c r="K67" s="219"/>
      <c r="L67" s="219"/>
      <c r="O67" s="219"/>
      <c r="Q67" s="219"/>
      <c r="R67" s="219"/>
      <c r="S67" s="219"/>
      <c r="T67" s="219"/>
      <c r="U67" s="219"/>
      <c r="Z67" s="219"/>
      <c r="AA67" s="219"/>
      <c r="AB67" s="219"/>
      <c r="AC67" s="219"/>
      <c r="AD67" s="219"/>
      <c r="AE67" s="219"/>
      <c r="AF67" s="219"/>
      <c r="AG67" s="219"/>
      <c r="AH67" s="219"/>
      <c r="AI67" s="219"/>
      <c r="AN67" s="237" t="str">
        <v/>
      </c>
      <c r="AO67" s="309">
        <f>IFERROR(LOOKUP(AN30,Est_Project_Delivery_Time[]),0)*U6</f>
        <v>0</v>
      </c>
      <c r="AP67" s="310"/>
    </row>
    <row r="68" spans="1:42" ht="15" customHeight="1">
      <c r="A68" s="219"/>
      <c r="B68" s="219"/>
      <c r="C68" s="219"/>
      <c r="F68" s="219"/>
      <c r="H68" s="219"/>
      <c r="I68" s="219"/>
      <c r="J68" s="219"/>
      <c r="K68" s="219"/>
      <c r="L68" s="219"/>
      <c r="O68" s="219"/>
      <c r="Q68" s="219"/>
      <c r="R68" s="219"/>
      <c r="S68" s="219"/>
      <c r="T68" s="219"/>
      <c r="U68" s="219"/>
      <c r="Z68" s="219"/>
      <c r="AA68" s="219"/>
      <c r="AB68" s="219"/>
      <c r="AC68" s="219"/>
      <c r="AD68" s="219"/>
      <c r="AE68" s="219"/>
      <c r="AF68" s="219"/>
      <c r="AG68" s="219"/>
      <c r="AH68" s="219"/>
      <c r="AI68" s="219"/>
      <c r="AN68" s="237" t="str">
        <v/>
      </c>
      <c r="AO68" s="309">
        <f>IFERROR(LOOKUP(AN31,Est_Project_Delivery_Time[]),0)*U7</f>
        <v>0</v>
      </c>
      <c r="AP68" s="310"/>
    </row>
    <row r="69" spans="1:42" ht="15" customHeight="1">
      <c r="A69" s="219"/>
      <c r="B69" s="219"/>
      <c r="C69" s="219"/>
      <c r="F69" s="219"/>
      <c r="H69" s="219"/>
      <c r="I69" s="219"/>
      <c r="J69" s="219"/>
      <c r="K69" s="219"/>
      <c r="L69" s="219"/>
      <c r="O69" s="219"/>
      <c r="Q69" s="219"/>
      <c r="R69" s="219"/>
      <c r="S69" s="219"/>
      <c r="T69" s="219"/>
      <c r="U69" s="219"/>
      <c r="Z69" s="219"/>
      <c r="AA69" s="219"/>
      <c r="AB69" s="219"/>
      <c r="AC69" s="219"/>
      <c r="AD69" s="219"/>
      <c r="AE69" s="219"/>
      <c r="AF69" s="219"/>
      <c r="AG69" s="219"/>
      <c r="AH69" s="219"/>
      <c r="AI69" s="219"/>
      <c r="AN69" s="237" t="str">
        <v/>
      </c>
      <c r="AO69" s="309">
        <f>IFERROR(LOOKUP(AN32,Est_Project_Delivery_Time[]),0)*U8</f>
        <v>0</v>
      </c>
      <c r="AP69" s="310"/>
    </row>
    <row r="70" spans="1:42" ht="15" customHeight="1">
      <c r="A70" s="219"/>
      <c r="B70" s="219"/>
      <c r="C70" s="219"/>
      <c r="F70" s="219"/>
      <c r="H70" s="219"/>
      <c r="I70" s="219"/>
      <c r="J70" s="219"/>
      <c r="K70" s="219"/>
      <c r="L70" s="219"/>
      <c r="O70" s="219"/>
      <c r="Q70" s="219"/>
      <c r="R70" s="219"/>
      <c r="S70" s="219"/>
      <c r="T70" s="219"/>
      <c r="U70" s="219"/>
      <c r="Z70" s="219"/>
      <c r="AA70" s="219"/>
      <c r="AB70" s="219"/>
      <c r="AC70" s="219"/>
      <c r="AD70" s="219"/>
      <c r="AE70" s="219"/>
      <c r="AF70" s="219"/>
      <c r="AG70" s="219"/>
      <c r="AH70" s="219"/>
      <c r="AI70" s="219"/>
      <c r="AN70" s="237" t="str">
        <v/>
      </c>
      <c r="AO70" s="309">
        <f>IFERROR(LOOKUP(AN33,Est_Project_Delivery_Time[]),0)*U9</f>
        <v>0</v>
      </c>
      <c r="AP70" s="310"/>
    </row>
    <row r="71" spans="1:42" ht="15" customHeight="1">
      <c r="A71" s="219"/>
      <c r="B71" s="219"/>
      <c r="C71" s="219"/>
      <c r="F71" s="219"/>
      <c r="H71" s="219"/>
      <c r="I71" s="219"/>
      <c r="J71" s="219"/>
      <c r="K71" s="219"/>
      <c r="L71" s="219"/>
      <c r="O71" s="219"/>
      <c r="Q71" s="219"/>
      <c r="R71" s="219"/>
      <c r="S71" s="219"/>
      <c r="T71" s="219"/>
      <c r="U71" s="219"/>
      <c r="Z71" s="219"/>
      <c r="AA71" s="219"/>
      <c r="AB71" s="219"/>
      <c r="AC71" s="219"/>
      <c r="AD71" s="219"/>
      <c r="AE71" s="219"/>
      <c r="AF71" s="219"/>
      <c r="AG71" s="219"/>
      <c r="AH71" s="219"/>
      <c r="AI71" s="219"/>
      <c r="AN71" s="237" t="str">
        <v/>
      </c>
      <c r="AO71" s="309">
        <f>IFERROR(LOOKUP(AN34,Est_Project_Delivery_Time[]),0)*U10</f>
        <v>0</v>
      </c>
      <c r="AP71" s="310"/>
    </row>
    <row r="72" spans="1:42" ht="15" customHeight="1">
      <c r="A72" s="219"/>
      <c r="B72" s="219"/>
      <c r="C72" s="219"/>
      <c r="F72" s="219"/>
      <c r="H72" s="219"/>
      <c r="I72" s="219"/>
      <c r="J72" s="219"/>
      <c r="K72" s="219"/>
      <c r="L72" s="219"/>
      <c r="O72" s="219"/>
      <c r="Q72" s="219"/>
      <c r="R72" s="219"/>
      <c r="S72" s="219"/>
      <c r="T72" s="219"/>
      <c r="U72" s="219"/>
      <c r="Z72" s="219"/>
      <c r="AA72" s="219"/>
      <c r="AB72" s="219"/>
      <c r="AC72" s="219"/>
      <c r="AD72" s="219"/>
      <c r="AE72" s="219"/>
      <c r="AF72" s="219"/>
      <c r="AG72" s="219"/>
      <c r="AH72" s="219"/>
      <c r="AI72" s="219"/>
      <c r="AN72" s="237" t="str">
        <v/>
      </c>
      <c r="AO72" s="309">
        <f>IFERROR(LOOKUP(AN35,Est_Project_Delivery_Time[]),0)*U11</f>
        <v>0</v>
      </c>
      <c r="AP72" s="310"/>
    </row>
    <row r="73" spans="1:42" ht="15" customHeight="1">
      <c r="A73" s="219"/>
      <c r="B73" s="219"/>
      <c r="C73" s="219"/>
      <c r="F73" s="219"/>
      <c r="H73" s="219"/>
      <c r="I73" s="219"/>
      <c r="J73" s="219"/>
      <c r="K73" s="219"/>
      <c r="L73" s="219"/>
      <c r="O73" s="219"/>
      <c r="Q73" s="219"/>
      <c r="R73" s="219"/>
      <c r="S73" s="219"/>
      <c r="T73" s="219"/>
      <c r="U73" s="219"/>
      <c r="Z73" s="219"/>
      <c r="AA73" s="219"/>
      <c r="AB73" s="219"/>
      <c r="AC73" s="219"/>
      <c r="AD73" s="219"/>
      <c r="AE73" s="219"/>
      <c r="AF73" s="219"/>
      <c r="AG73" s="219"/>
      <c r="AH73" s="219"/>
      <c r="AI73" s="219"/>
      <c r="AN73" s="237" t="str">
        <v/>
      </c>
      <c r="AO73" s="309">
        <f>IFERROR(LOOKUP(AN36,Est_Project_Delivery_Time[]),0)*U12</f>
        <v>0</v>
      </c>
      <c r="AP73" s="310"/>
    </row>
    <row r="74" spans="1:42" ht="15" customHeight="1">
      <c r="A74" s="219"/>
      <c r="B74" s="219"/>
      <c r="C74" s="219"/>
      <c r="F74" s="219"/>
      <c r="H74" s="219"/>
      <c r="I74" s="219"/>
      <c r="J74" s="219"/>
      <c r="K74" s="219"/>
      <c r="L74" s="219"/>
      <c r="O74" s="219"/>
      <c r="Q74" s="219"/>
      <c r="R74" s="219"/>
      <c r="S74" s="219"/>
      <c r="T74" s="219"/>
      <c r="U74" s="219"/>
      <c r="Z74" s="219"/>
      <c r="AA74" s="219"/>
      <c r="AB74" s="219"/>
      <c r="AC74" s="219"/>
      <c r="AD74" s="219"/>
      <c r="AE74" s="219"/>
      <c r="AF74" s="219"/>
      <c r="AG74" s="219"/>
      <c r="AH74" s="219"/>
      <c r="AI74" s="219"/>
      <c r="AN74" s="237" t="str">
        <v/>
      </c>
      <c r="AO74" s="309">
        <f>IFERROR(LOOKUP(AN37,Est_Project_Delivery_Time[]),0)*U13</f>
        <v>0</v>
      </c>
      <c r="AP74" s="310"/>
    </row>
    <row r="75" spans="1:42" ht="15" customHeight="1">
      <c r="A75" s="219"/>
      <c r="B75" s="219"/>
      <c r="C75" s="219"/>
      <c r="F75" s="219"/>
      <c r="H75" s="219"/>
      <c r="I75" s="219"/>
      <c r="J75" s="219"/>
      <c r="K75" s="219"/>
      <c r="L75" s="219"/>
      <c r="O75" s="219"/>
      <c r="Q75" s="219"/>
      <c r="R75" s="219"/>
      <c r="S75" s="219"/>
      <c r="T75" s="219"/>
      <c r="U75" s="219"/>
      <c r="Z75" s="219"/>
      <c r="AA75" s="219"/>
      <c r="AB75" s="219"/>
      <c r="AC75" s="219"/>
      <c r="AD75" s="219"/>
      <c r="AE75" s="219"/>
      <c r="AF75" s="219"/>
      <c r="AG75" s="219"/>
      <c r="AH75" s="219"/>
      <c r="AI75" s="219"/>
      <c r="AN75" s="237" t="str">
        <v/>
      </c>
      <c r="AO75" s="309">
        <f>IFERROR(LOOKUP(AN38,Est_Project_Delivery_Time[]),0)*U14</f>
        <v>0</v>
      </c>
      <c r="AP75" s="310"/>
    </row>
    <row r="76" spans="1:42" ht="15" customHeight="1">
      <c r="A76" s="219"/>
      <c r="B76" s="219"/>
      <c r="C76" s="219"/>
      <c r="F76" s="219"/>
      <c r="H76" s="219"/>
      <c r="I76" s="219"/>
      <c r="J76" s="219"/>
      <c r="K76" s="219"/>
      <c r="L76" s="219"/>
      <c r="O76" s="219"/>
      <c r="Q76" s="219"/>
      <c r="R76" s="219"/>
      <c r="S76" s="219"/>
      <c r="T76" s="219"/>
      <c r="U76" s="219"/>
      <c r="Z76" s="219"/>
      <c r="AA76" s="219"/>
      <c r="AB76" s="219"/>
      <c r="AC76" s="219"/>
      <c r="AD76" s="219"/>
      <c r="AE76" s="219"/>
      <c r="AF76" s="219"/>
      <c r="AG76" s="219"/>
      <c r="AH76" s="219"/>
      <c r="AI76" s="219"/>
    </row>
    <row r="77" spans="1:42" ht="15" customHeight="1">
      <c r="A77" s="219"/>
      <c r="B77" s="219"/>
      <c r="C77" s="219"/>
      <c r="F77" s="219"/>
      <c r="H77" s="219"/>
      <c r="I77" s="219"/>
      <c r="J77" s="219"/>
      <c r="K77" s="219"/>
      <c r="L77" s="219"/>
      <c r="O77" s="219"/>
      <c r="Q77" s="219"/>
      <c r="R77" s="219"/>
      <c r="S77" s="219"/>
      <c r="T77" s="219"/>
      <c r="U77" s="219"/>
      <c r="Z77" s="219"/>
      <c r="AA77" s="219"/>
      <c r="AB77" s="219"/>
      <c r="AC77" s="219"/>
      <c r="AD77" s="219"/>
      <c r="AE77" s="219"/>
      <c r="AF77" s="219"/>
      <c r="AG77" s="219"/>
      <c r="AH77" s="219"/>
      <c r="AI77" s="219"/>
    </row>
    <row r="78" spans="1:42" ht="15" customHeight="1">
      <c r="A78" s="219"/>
      <c r="B78" s="219"/>
      <c r="C78" s="219"/>
      <c r="F78" s="219"/>
      <c r="H78" s="219"/>
      <c r="I78" s="219"/>
      <c r="J78" s="219"/>
      <c r="K78" s="219"/>
      <c r="L78" s="219"/>
      <c r="O78" s="219"/>
      <c r="Q78" s="219"/>
      <c r="R78" s="219"/>
      <c r="S78" s="219"/>
      <c r="T78" s="219"/>
      <c r="U78" s="219"/>
      <c r="Z78" s="219"/>
      <c r="AA78" s="219"/>
      <c r="AB78" s="219"/>
      <c r="AC78" s="219"/>
      <c r="AD78" s="219"/>
      <c r="AE78" s="219"/>
      <c r="AF78" s="219"/>
      <c r="AG78" s="219"/>
      <c r="AH78" s="219"/>
      <c r="AI78" s="219"/>
    </row>
    <row r="79" spans="1:42" ht="15" customHeight="1">
      <c r="A79" s="219"/>
      <c r="B79" s="219"/>
      <c r="C79" s="219"/>
      <c r="F79" s="219"/>
      <c r="H79" s="219"/>
      <c r="I79" s="219"/>
      <c r="J79" s="219"/>
      <c r="K79" s="219"/>
      <c r="L79" s="219"/>
      <c r="O79" s="219"/>
      <c r="Q79" s="219"/>
      <c r="R79" s="219"/>
      <c r="S79" s="219"/>
      <c r="T79" s="219"/>
      <c r="U79" s="219"/>
      <c r="Z79" s="219"/>
      <c r="AA79" s="219"/>
      <c r="AB79" s="219"/>
      <c r="AC79" s="219"/>
      <c r="AD79" s="219"/>
      <c r="AE79" s="219"/>
      <c r="AF79" s="219"/>
      <c r="AG79" s="219"/>
      <c r="AH79" s="219"/>
      <c r="AI79" s="219"/>
    </row>
    <row r="80" spans="1:42" ht="15" customHeight="1">
      <c r="A80" s="219"/>
      <c r="B80" s="219"/>
      <c r="C80" s="219"/>
      <c r="F80" s="219"/>
      <c r="H80" s="219"/>
      <c r="I80" s="219"/>
      <c r="J80" s="219"/>
      <c r="K80" s="219"/>
      <c r="L80" s="219"/>
      <c r="O80" s="219"/>
      <c r="Q80" s="219"/>
      <c r="R80" s="219"/>
      <c r="S80" s="219"/>
      <c r="T80" s="219"/>
      <c r="U80" s="219"/>
      <c r="Z80" s="219"/>
      <c r="AA80" s="219"/>
      <c r="AB80" s="219"/>
      <c r="AC80" s="219"/>
      <c r="AD80" s="219"/>
      <c r="AE80" s="219"/>
      <c r="AF80" s="219"/>
      <c r="AG80" s="219"/>
      <c r="AH80" s="219"/>
      <c r="AI80" s="219"/>
    </row>
    <row r="81" spans="1:345" ht="15" customHeight="1">
      <c r="A81" s="219"/>
      <c r="B81" s="219"/>
      <c r="C81" s="219"/>
      <c r="F81" s="219"/>
      <c r="H81" s="219"/>
      <c r="I81" s="219"/>
      <c r="J81" s="219"/>
      <c r="K81" s="219"/>
      <c r="L81" s="219"/>
      <c r="O81" s="219"/>
      <c r="Q81" s="219"/>
      <c r="R81" s="219"/>
      <c r="S81" s="219"/>
      <c r="T81" s="219"/>
      <c r="U81" s="219"/>
      <c r="Z81" s="219"/>
      <c r="AA81" s="219"/>
      <c r="AB81" s="219"/>
      <c r="AC81" s="219"/>
      <c r="AD81" s="219"/>
      <c r="AE81" s="219"/>
      <c r="AF81" s="219"/>
      <c r="AG81" s="219"/>
      <c r="AH81" s="219"/>
      <c r="AI81" s="219"/>
    </row>
    <row r="82" spans="1:345" ht="15" customHeight="1">
      <c r="A82" s="219"/>
      <c r="B82" s="219"/>
      <c r="C82" s="219"/>
      <c r="F82" s="219"/>
      <c r="H82" s="219"/>
      <c r="I82" s="219"/>
      <c r="J82" s="219"/>
      <c r="K82" s="219"/>
      <c r="L82" s="219"/>
      <c r="O82" s="219"/>
      <c r="Q82" s="219"/>
      <c r="R82" s="219"/>
      <c r="S82" s="219"/>
      <c r="T82" s="219"/>
      <c r="U82" s="219"/>
      <c r="Z82" s="219"/>
      <c r="AA82" s="219"/>
      <c r="AB82" s="219"/>
      <c r="AC82" s="219"/>
      <c r="AD82" s="219"/>
      <c r="AE82" s="219"/>
      <c r="AF82" s="219"/>
      <c r="AG82" s="219"/>
      <c r="AH82" s="219"/>
      <c r="AI82" s="219"/>
    </row>
    <row r="83" spans="1:345" ht="15" customHeight="1">
      <c r="A83" s="219"/>
      <c r="B83" s="219"/>
      <c r="C83" s="219"/>
      <c r="F83" s="219"/>
      <c r="H83" s="219"/>
      <c r="I83" s="219"/>
      <c r="J83" s="219"/>
      <c r="K83" s="219"/>
      <c r="L83" s="219"/>
      <c r="O83" s="219"/>
      <c r="Q83" s="219"/>
      <c r="R83" s="219"/>
      <c r="S83" s="219"/>
      <c r="T83" s="219"/>
      <c r="U83" s="219"/>
      <c r="Z83" s="219"/>
      <c r="AA83" s="219"/>
      <c r="AB83" s="219"/>
      <c r="AC83" s="219"/>
      <c r="AD83" s="219"/>
      <c r="AE83" s="219"/>
      <c r="AF83" s="219"/>
      <c r="AG83" s="219"/>
      <c r="AH83" s="219"/>
      <c r="AI83" s="219"/>
    </row>
    <row r="84" spans="1:345" ht="15" customHeight="1">
      <c r="A84" s="219"/>
      <c r="B84" s="219"/>
      <c r="C84" s="219"/>
      <c r="F84" s="219"/>
      <c r="H84" s="219"/>
      <c r="I84" s="219"/>
      <c r="J84" s="219"/>
      <c r="K84" s="219"/>
      <c r="L84" s="219"/>
      <c r="O84" s="219"/>
      <c r="Q84" s="219"/>
      <c r="R84" s="219"/>
      <c r="S84" s="219"/>
      <c r="T84" s="219"/>
      <c r="U84" s="219"/>
      <c r="Z84" s="219"/>
      <c r="AA84" s="219"/>
      <c r="AB84" s="219"/>
      <c r="AC84" s="219"/>
      <c r="AD84" s="219"/>
      <c r="AE84" s="219"/>
      <c r="AF84" s="219"/>
      <c r="AG84" s="219"/>
      <c r="AH84" s="219"/>
      <c r="AI84" s="219"/>
    </row>
    <row r="85" spans="1:345" ht="15" customHeight="1">
      <c r="A85" s="219"/>
      <c r="B85" s="219"/>
      <c r="C85" s="219"/>
      <c r="F85" s="219"/>
      <c r="H85" s="219"/>
      <c r="I85" s="219"/>
      <c r="J85" s="219"/>
      <c r="K85" s="219"/>
      <c r="L85" s="219"/>
      <c r="O85" s="219"/>
      <c r="Q85" s="219"/>
      <c r="R85" s="219"/>
      <c r="S85" s="219"/>
      <c r="T85" s="219"/>
      <c r="U85" s="219"/>
      <c r="Z85" s="219"/>
      <c r="AA85" s="219"/>
      <c r="AB85" s="219"/>
      <c r="AC85" s="219"/>
      <c r="AD85" s="219"/>
      <c r="AE85" s="219"/>
      <c r="AF85" s="219"/>
      <c r="AG85" s="219"/>
      <c r="AH85" s="219"/>
      <c r="AI85" s="219"/>
    </row>
    <row r="86" spans="1:345" ht="15" customHeight="1">
      <c r="A86" s="219"/>
      <c r="B86" s="219"/>
      <c r="C86" s="219"/>
      <c r="F86" s="219"/>
      <c r="H86" s="219"/>
      <c r="I86" s="219"/>
      <c r="J86" s="219"/>
      <c r="K86" s="219"/>
      <c r="L86" s="219"/>
      <c r="O86" s="219"/>
      <c r="Q86" s="219"/>
      <c r="R86" s="219"/>
      <c r="S86" s="219"/>
      <c r="T86" s="219"/>
      <c r="U86" s="219"/>
      <c r="Z86" s="219"/>
      <c r="AA86" s="219"/>
      <c r="AB86" s="219"/>
      <c r="AC86" s="219"/>
      <c r="AD86" s="219"/>
      <c r="AE86" s="219"/>
      <c r="AF86" s="219"/>
      <c r="AG86" s="219"/>
      <c r="AH86" s="219"/>
      <c r="AI86" s="219"/>
    </row>
    <row r="87" spans="1:345" ht="15" customHeight="1">
      <c r="A87" s="219"/>
      <c r="B87" s="219"/>
      <c r="C87" s="219"/>
      <c r="F87" s="219"/>
      <c r="H87" s="219"/>
      <c r="I87" s="219"/>
      <c r="J87" s="219"/>
      <c r="K87" s="219"/>
      <c r="L87" s="219"/>
      <c r="O87" s="219"/>
      <c r="Q87" s="219"/>
      <c r="R87" s="219"/>
      <c r="S87" s="219"/>
      <c r="T87" s="219"/>
      <c r="U87" s="219"/>
      <c r="Z87" s="219"/>
      <c r="AA87" s="219"/>
      <c r="AB87" s="219"/>
      <c r="AC87" s="219"/>
      <c r="AD87" s="219"/>
      <c r="AE87" s="219"/>
      <c r="AF87" s="219"/>
      <c r="AG87" s="219"/>
      <c r="AH87" s="219"/>
      <c r="AI87" s="219"/>
    </row>
    <row r="88" spans="1:345" ht="15" customHeight="1">
      <c r="A88" s="219"/>
      <c r="B88" s="219"/>
      <c r="C88" s="219"/>
      <c r="F88" s="219"/>
      <c r="H88" s="219"/>
      <c r="I88" s="219"/>
      <c r="J88" s="219"/>
      <c r="K88" s="219"/>
      <c r="L88" s="219"/>
      <c r="O88" s="219"/>
      <c r="Q88" s="219"/>
      <c r="R88" s="219"/>
      <c r="S88" s="219"/>
      <c r="T88" s="219"/>
      <c r="U88" s="219"/>
      <c r="Z88" s="219"/>
      <c r="AA88" s="219"/>
      <c r="AB88" s="219"/>
      <c r="AC88" s="219"/>
      <c r="AD88" s="219"/>
      <c r="AE88" s="219"/>
      <c r="AF88" s="219"/>
      <c r="AG88" s="219"/>
      <c r="AH88" s="219"/>
      <c r="AI88" s="219"/>
    </row>
    <row r="89" spans="1:345" ht="15" customHeight="1">
      <c r="A89" s="219"/>
      <c r="B89" s="219"/>
      <c r="C89" s="219"/>
      <c r="F89" s="219"/>
      <c r="H89" s="219"/>
      <c r="I89" s="219"/>
      <c r="J89" s="219"/>
      <c r="K89" s="219"/>
      <c r="L89" s="219"/>
      <c r="O89" s="219"/>
      <c r="Q89" s="219"/>
      <c r="R89" s="219"/>
      <c r="S89" s="219"/>
      <c r="T89" s="219"/>
      <c r="U89" s="219"/>
      <c r="Z89" s="219"/>
      <c r="AA89" s="219"/>
      <c r="AB89" s="219"/>
      <c r="AC89" s="219"/>
      <c r="AD89" s="219"/>
      <c r="AE89" s="219"/>
      <c r="AF89" s="219"/>
      <c r="AG89" s="219"/>
      <c r="AH89" s="219"/>
      <c r="AI89" s="219"/>
    </row>
    <row r="90" spans="1:345" ht="15" customHeight="1">
      <c r="A90" s="219"/>
      <c r="B90" s="219"/>
      <c r="C90" s="219"/>
      <c r="F90" s="219"/>
      <c r="H90" s="219"/>
      <c r="I90" s="219"/>
      <c r="J90" s="219"/>
      <c r="K90" s="219"/>
      <c r="L90" s="219"/>
      <c r="O90" s="219"/>
      <c r="Q90" s="219"/>
      <c r="R90" s="219"/>
      <c r="S90" s="219"/>
      <c r="T90" s="219"/>
      <c r="U90" s="219"/>
      <c r="Z90" s="219"/>
      <c r="AA90" s="219"/>
      <c r="AB90" s="219"/>
      <c r="AC90" s="219"/>
      <c r="AD90" s="219"/>
      <c r="AE90" s="219"/>
      <c r="AF90" s="219"/>
      <c r="AG90" s="219"/>
      <c r="AH90" s="219"/>
      <c r="AI90" s="219"/>
    </row>
    <row r="91" spans="1:345" ht="15" customHeight="1">
      <c r="A91" s="219"/>
      <c r="B91" s="219"/>
      <c r="C91" s="219"/>
      <c r="F91" s="219"/>
      <c r="H91" s="219"/>
      <c r="I91" s="219"/>
      <c r="J91" s="219"/>
      <c r="K91" s="219"/>
      <c r="L91" s="219"/>
      <c r="O91" s="219"/>
      <c r="Q91" s="219"/>
      <c r="R91" s="219"/>
      <c r="S91" s="219"/>
      <c r="T91" s="219"/>
      <c r="U91" s="219"/>
      <c r="Z91" s="219"/>
      <c r="AA91" s="219"/>
      <c r="AB91" s="219"/>
      <c r="AC91" s="219"/>
      <c r="AD91" s="219"/>
      <c r="AE91" s="219"/>
      <c r="AF91" s="219"/>
      <c r="AG91" s="219"/>
      <c r="AH91" s="219"/>
      <c r="AI91" s="219"/>
    </row>
    <row r="92" spans="1:345" ht="15" customHeight="1">
      <c r="A92" s="219"/>
      <c r="B92" s="219"/>
      <c r="C92" s="219"/>
      <c r="F92" s="219"/>
      <c r="H92" s="219"/>
      <c r="I92" s="219"/>
      <c r="J92" s="219"/>
      <c r="K92" s="219"/>
      <c r="L92" s="219"/>
      <c r="O92" s="219"/>
      <c r="Q92" s="219"/>
      <c r="R92" s="219"/>
      <c r="S92" s="219"/>
      <c r="T92" s="219"/>
      <c r="U92" s="219"/>
      <c r="Z92" s="219"/>
      <c r="AA92" s="219"/>
      <c r="AB92" s="219"/>
      <c r="AC92" s="219"/>
      <c r="AD92" s="219"/>
      <c r="AE92" s="219"/>
      <c r="AF92" s="219"/>
      <c r="AG92" s="219"/>
      <c r="AH92" s="219"/>
      <c r="AI92" s="219"/>
      <c r="AT92" s="226"/>
      <c r="AU92" s="226"/>
      <c r="AV92" s="226"/>
      <c r="AW92" s="226"/>
      <c r="AX92" s="226"/>
      <c r="AY92" s="226"/>
      <c r="AZ92" s="226"/>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232"/>
      <c r="BY92" s="232"/>
      <c r="BZ92" s="232"/>
      <c r="CA92" s="232"/>
      <c r="CB92" s="232"/>
      <c r="CC92" s="232"/>
      <c r="CD92" s="232"/>
      <c r="CE92" s="232"/>
      <c r="CF92" s="232"/>
      <c r="CG92" s="232"/>
      <c r="CH92" s="232"/>
      <c r="CI92" s="232"/>
      <c r="CJ92" s="232"/>
      <c r="CK92" s="232"/>
      <c r="CL92" s="232"/>
      <c r="CM92" s="232"/>
      <c r="CN92" s="232"/>
      <c r="CO92" s="232"/>
      <c r="CP92" s="232"/>
      <c r="CQ92" s="232"/>
      <c r="CR92" s="232"/>
      <c r="CS92" s="232"/>
      <c r="CT92" s="232"/>
      <c r="CU92" s="232"/>
      <c r="CV92" s="232"/>
      <c r="CW92" s="232"/>
      <c r="CX92" s="232"/>
      <c r="CY92" s="232"/>
      <c r="CZ92" s="232"/>
      <c r="DA92" s="232"/>
      <c r="DB92" s="232"/>
      <c r="DC92" s="232"/>
      <c r="DD92" s="232"/>
      <c r="DE92" s="232"/>
      <c r="DF92" s="232"/>
      <c r="DG92" s="232"/>
      <c r="DH92" s="232"/>
      <c r="DI92" s="232"/>
      <c r="DJ92" s="232"/>
      <c r="DK92" s="232"/>
      <c r="DL92" s="232"/>
      <c r="DM92" s="232"/>
      <c r="DN92" s="232"/>
      <c r="DO92" s="232"/>
      <c r="DP92" s="232"/>
      <c r="DQ92" s="232"/>
      <c r="DR92" s="232"/>
      <c r="DS92" s="232"/>
      <c r="DT92" s="232"/>
      <c r="DU92" s="232"/>
      <c r="DV92" s="232"/>
      <c r="DW92" s="232"/>
      <c r="DX92" s="232"/>
      <c r="DY92" s="232"/>
      <c r="DZ92" s="232"/>
      <c r="EA92" s="232"/>
      <c r="EB92" s="232"/>
      <c r="EC92" s="232"/>
      <c r="ED92" s="232"/>
      <c r="EE92" s="232"/>
      <c r="EF92" s="232"/>
      <c r="EG92" s="232"/>
      <c r="EH92" s="232"/>
      <c r="EI92" s="232"/>
      <c r="EJ92" s="232"/>
      <c r="EK92" s="232"/>
      <c r="EL92" s="232"/>
      <c r="EM92" s="232"/>
      <c r="EN92" s="232"/>
      <c r="EO92" s="232"/>
      <c r="EP92" s="232"/>
      <c r="EQ92" s="232"/>
      <c r="ER92" s="232"/>
      <c r="ES92" s="232"/>
      <c r="ET92" s="232"/>
      <c r="EU92" s="232"/>
      <c r="EV92" s="232"/>
      <c r="EW92" s="232"/>
      <c r="EX92" s="232"/>
      <c r="EY92" s="232"/>
      <c r="EZ92" s="232"/>
      <c r="FA92" s="232"/>
      <c r="FB92" s="232"/>
      <c r="FC92" s="232"/>
      <c r="FD92" s="232"/>
      <c r="FE92" s="232"/>
      <c r="FF92" s="232"/>
      <c r="FG92" s="232"/>
      <c r="FH92" s="232"/>
      <c r="FI92" s="232"/>
      <c r="FJ92" s="232"/>
      <c r="FK92" s="232"/>
      <c r="FL92" s="232"/>
      <c r="FM92" s="232"/>
      <c r="FN92" s="232"/>
      <c r="FO92" s="232"/>
      <c r="FP92" s="232"/>
      <c r="FQ92" s="232"/>
      <c r="FR92" s="232"/>
      <c r="FS92" s="232"/>
      <c r="FT92" s="232"/>
      <c r="FU92" s="232"/>
      <c r="FV92" s="232"/>
      <c r="FW92" s="232"/>
      <c r="FX92" s="232"/>
      <c r="FY92" s="232"/>
      <c r="FZ92" s="232"/>
      <c r="GA92" s="232"/>
      <c r="GB92" s="232"/>
      <c r="GC92" s="232"/>
      <c r="GD92" s="232"/>
      <c r="GE92" s="232"/>
      <c r="GF92" s="232"/>
      <c r="GG92" s="232"/>
      <c r="GH92" s="232"/>
      <c r="GI92" s="232"/>
      <c r="GJ92" s="232"/>
      <c r="GK92" s="232"/>
      <c r="GL92" s="232"/>
      <c r="GM92" s="232"/>
      <c r="GN92" s="232"/>
      <c r="GO92" s="232"/>
      <c r="GP92" s="232"/>
      <c r="GQ92" s="232"/>
      <c r="GR92" s="232"/>
      <c r="GS92" s="232"/>
      <c r="GT92" s="232"/>
      <c r="GU92" s="232"/>
      <c r="GV92" s="232"/>
      <c r="GW92" s="232"/>
      <c r="GX92" s="232"/>
      <c r="GY92" s="232"/>
      <c r="GZ92" s="232"/>
      <c r="HA92" s="232"/>
      <c r="HB92" s="232"/>
      <c r="HC92" s="232"/>
      <c r="HD92" s="232"/>
      <c r="HE92" s="232"/>
      <c r="HF92" s="232"/>
      <c r="HG92" s="232"/>
      <c r="HH92" s="232"/>
      <c r="HI92" s="232"/>
      <c r="HJ92" s="232"/>
      <c r="HK92" s="232"/>
      <c r="HL92" s="232"/>
      <c r="HM92" s="232"/>
      <c r="HN92" s="232"/>
      <c r="HO92" s="232"/>
      <c r="HP92" s="232"/>
      <c r="HQ92" s="232"/>
      <c r="HR92" s="232"/>
      <c r="HS92" s="232"/>
      <c r="HT92" s="232"/>
      <c r="HU92" s="232"/>
      <c r="HV92" s="232"/>
      <c r="HW92" s="232"/>
      <c r="HX92" s="232"/>
      <c r="HY92" s="232"/>
      <c r="HZ92" s="232"/>
      <c r="IA92" s="232"/>
      <c r="IB92" s="232"/>
      <c r="IC92" s="232"/>
      <c r="ID92" s="232"/>
      <c r="IE92" s="232"/>
      <c r="IF92" s="232"/>
      <c r="IG92" s="232"/>
      <c r="IH92" s="232"/>
      <c r="II92" s="232"/>
      <c r="IJ92" s="232"/>
      <c r="IK92" s="232"/>
      <c r="IL92" s="232"/>
      <c r="IM92" s="232"/>
      <c r="IN92" s="232"/>
      <c r="IO92" s="232"/>
      <c r="IP92" s="232"/>
      <c r="IQ92" s="232"/>
      <c r="IR92" s="232"/>
      <c r="IS92" s="232"/>
      <c r="IT92" s="232"/>
      <c r="IU92" s="232"/>
      <c r="IV92" s="232"/>
      <c r="IW92" s="232"/>
      <c r="IX92" s="232"/>
      <c r="IY92" s="232"/>
      <c r="IZ92" s="232"/>
      <c r="JA92" s="232"/>
      <c r="JB92" s="232"/>
      <c r="JC92" s="232"/>
      <c r="JD92" s="232"/>
      <c r="JE92" s="232"/>
      <c r="JF92" s="232"/>
      <c r="JG92" s="232"/>
      <c r="JH92" s="232"/>
      <c r="JI92" s="232"/>
      <c r="JJ92" s="232"/>
      <c r="JK92" s="232"/>
      <c r="JL92" s="232"/>
      <c r="JM92" s="232"/>
      <c r="JN92" s="232"/>
      <c r="JO92" s="232"/>
      <c r="JP92" s="232"/>
      <c r="JQ92" s="232"/>
      <c r="JR92" s="232"/>
      <c r="JS92" s="232"/>
      <c r="JT92" s="232"/>
      <c r="JU92" s="232"/>
      <c r="JV92" s="232"/>
      <c r="JW92" s="232"/>
      <c r="JX92" s="232"/>
      <c r="JY92" s="232"/>
      <c r="JZ92" s="232"/>
      <c r="KA92" s="232"/>
      <c r="KB92" s="232"/>
      <c r="KC92" s="232"/>
      <c r="KD92" s="232"/>
      <c r="KE92" s="232"/>
      <c r="KF92" s="232"/>
      <c r="KG92" s="232"/>
      <c r="KH92" s="232"/>
      <c r="KI92" s="232"/>
      <c r="KJ92" s="232"/>
      <c r="KK92" s="232"/>
      <c r="KL92" s="232"/>
      <c r="KM92" s="232"/>
      <c r="KN92" s="232"/>
      <c r="KO92" s="232"/>
      <c r="KP92" s="232"/>
      <c r="KQ92" s="232"/>
      <c r="KR92" s="232"/>
      <c r="KS92" s="232"/>
      <c r="KT92" s="232"/>
      <c r="KU92" s="232"/>
      <c r="KV92" s="232"/>
      <c r="KW92" s="232"/>
      <c r="KX92" s="232"/>
      <c r="KY92" s="232"/>
      <c r="KZ92" s="232"/>
      <c r="LA92" s="232"/>
      <c r="LB92" s="232"/>
      <c r="LC92" s="232"/>
      <c r="LD92" s="232"/>
      <c r="LE92" s="232"/>
      <c r="LF92" s="232"/>
      <c r="LG92" s="232"/>
      <c r="LH92" s="232"/>
      <c r="LI92" s="232"/>
      <c r="LJ92" s="232"/>
      <c r="LK92" s="232"/>
      <c r="LL92" s="232"/>
      <c r="LM92" s="232"/>
      <c r="LN92" s="232"/>
      <c r="LP92" s="232"/>
      <c r="LQ92" s="232"/>
      <c r="LR92" s="232"/>
      <c r="LS92" s="232"/>
      <c r="LT92" s="232"/>
      <c r="LU92" s="232"/>
      <c r="LV92" s="232"/>
      <c r="LW92" s="232"/>
      <c r="LX92" s="232"/>
      <c r="LY92" s="232"/>
      <c r="LZ92" s="232"/>
      <c r="MA92" s="232"/>
      <c r="MB92" s="232"/>
      <c r="MC92" s="232"/>
      <c r="MD92" s="232"/>
      <c r="ME92" s="232"/>
      <c r="MF92" s="232"/>
      <c r="MG92" s="232"/>
    </row>
    <row r="93" spans="1:345" ht="15" customHeight="1">
      <c r="A93" s="219"/>
      <c r="B93" s="219"/>
      <c r="C93" s="219"/>
      <c r="F93" s="219"/>
      <c r="H93" s="219"/>
      <c r="I93" s="219"/>
      <c r="J93" s="219"/>
      <c r="K93" s="219"/>
      <c r="L93" s="219"/>
      <c r="O93" s="219"/>
      <c r="Q93" s="219"/>
      <c r="R93" s="219"/>
      <c r="S93" s="219"/>
      <c r="T93" s="219"/>
      <c r="U93" s="219"/>
      <c r="Z93" s="219"/>
      <c r="AA93" s="219"/>
      <c r="AB93" s="219"/>
      <c r="AC93" s="219"/>
      <c r="AD93" s="219"/>
      <c r="AE93" s="219"/>
      <c r="AF93" s="219"/>
      <c r="AG93" s="219"/>
      <c r="AH93" s="219"/>
      <c r="AI93" s="219"/>
    </row>
    <row r="94" spans="1:345" ht="15" customHeight="1">
      <c r="A94" s="219"/>
      <c r="B94" s="219"/>
      <c r="C94" s="219"/>
      <c r="F94" s="219"/>
      <c r="H94" s="219"/>
      <c r="I94" s="219"/>
      <c r="J94" s="219"/>
      <c r="K94" s="219"/>
      <c r="L94" s="219"/>
      <c r="O94" s="219"/>
      <c r="Q94" s="219"/>
      <c r="R94" s="219"/>
      <c r="S94" s="219"/>
      <c r="T94" s="219"/>
      <c r="U94" s="219"/>
      <c r="Z94" s="219"/>
      <c r="AA94" s="219"/>
      <c r="AB94" s="219"/>
      <c r="AC94" s="219"/>
      <c r="AD94" s="219"/>
      <c r="AE94" s="219"/>
      <c r="AF94" s="219"/>
      <c r="AG94" s="219"/>
      <c r="AH94" s="219"/>
      <c r="AI94" s="219"/>
    </row>
    <row r="95" spans="1:345" ht="15" customHeight="1">
      <c r="A95" s="219"/>
      <c r="B95" s="219"/>
      <c r="C95" s="219"/>
      <c r="F95" s="219"/>
      <c r="H95" s="219"/>
      <c r="I95" s="219"/>
      <c r="J95" s="219"/>
      <c r="K95" s="219"/>
      <c r="L95" s="219"/>
      <c r="O95" s="219"/>
      <c r="Q95" s="219"/>
      <c r="R95" s="219"/>
      <c r="S95" s="219"/>
      <c r="T95" s="219"/>
      <c r="U95" s="219"/>
      <c r="Z95" s="219"/>
      <c r="AA95" s="219"/>
      <c r="AB95" s="219"/>
      <c r="AC95" s="219"/>
      <c r="AD95" s="219"/>
      <c r="AE95" s="219"/>
      <c r="AF95" s="219"/>
      <c r="AG95" s="219"/>
      <c r="AH95" s="219"/>
      <c r="AI95" s="219"/>
    </row>
    <row r="96" spans="1:345" ht="15" customHeight="1">
      <c r="A96" s="219"/>
      <c r="B96" s="219"/>
      <c r="C96" s="219"/>
      <c r="F96" s="219"/>
      <c r="H96" s="219"/>
      <c r="I96" s="219"/>
      <c r="J96" s="219"/>
      <c r="K96" s="219"/>
      <c r="L96" s="219"/>
      <c r="O96" s="219"/>
      <c r="Q96" s="219"/>
      <c r="R96" s="219"/>
      <c r="S96" s="219"/>
      <c r="T96" s="219"/>
      <c r="U96" s="219"/>
      <c r="Z96" s="219"/>
      <c r="AA96" s="219"/>
      <c r="AB96" s="219"/>
      <c r="AC96" s="219"/>
      <c r="AD96" s="219"/>
      <c r="AE96" s="219"/>
      <c r="AF96" s="219"/>
      <c r="AG96" s="219"/>
      <c r="AH96" s="219"/>
      <c r="AI96" s="219"/>
    </row>
    <row r="97" spans="1:35" ht="15" customHeight="1">
      <c r="A97" s="219"/>
      <c r="B97" s="219"/>
      <c r="C97" s="219"/>
      <c r="F97" s="219"/>
      <c r="H97" s="219"/>
      <c r="I97" s="219"/>
      <c r="J97" s="219"/>
      <c r="K97" s="219"/>
      <c r="L97" s="219"/>
      <c r="O97" s="219"/>
      <c r="Q97" s="219"/>
      <c r="R97" s="219"/>
      <c r="S97" s="219"/>
      <c r="T97" s="219"/>
      <c r="U97" s="219"/>
      <c r="Z97" s="219"/>
      <c r="AA97" s="219"/>
      <c r="AB97" s="219"/>
      <c r="AC97" s="219"/>
      <c r="AD97" s="219"/>
      <c r="AE97" s="219"/>
      <c r="AF97" s="219"/>
      <c r="AG97" s="219"/>
      <c r="AH97" s="219"/>
      <c r="AI97" s="219"/>
    </row>
    <row r="98" spans="1:35" ht="15" customHeight="1">
      <c r="A98" s="219"/>
      <c r="B98" s="219"/>
      <c r="C98" s="219"/>
      <c r="F98" s="219"/>
      <c r="H98" s="219"/>
      <c r="I98" s="219"/>
      <c r="J98" s="219"/>
      <c r="K98" s="219"/>
      <c r="L98" s="219"/>
      <c r="O98" s="219"/>
      <c r="Q98" s="219"/>
      <c r="R98" s="219"/>
      <c r="S98" s="219"/>
      <c r="T98" s="219"/>
      <c r="U98" s="219"/>
      <c r="Z98" s="219"/>
      <c r="AA98" s="219"/>
      <c r="AB98" s="219"/>
      <c r="AC98" s="219"/>
      <c r="AD98" s="219"/>
      <c r="AE98" s="219"/>
      <c r="AF98" s="219"/>
      <c r="AG98" s="219"/>
      <c r="AH98" s="219"/>
      <c r="AI98" s="219"/>
    </row>
    <row r="99" spans="1:35" ht="15" customHeight="1">
      <c r="A99" s="219"/>
      <c r="B99" s="219"/>
      <c r="C99" s="219"/>
      <c r="F99" s="219"/>
      <c r="H99" s="219"/>
      <c r="I99" s="219"/>
      <c r="J99" s="219"/>
      <c r="K99" s="219"/>
      <c r="L99" s="219"/>
      <c r="O99" s="219"/>
      <c r="Q99" s="219"/>
      <c r="R99" s="219"/>
      <c r="S99" s="219"/>
      <c r="T99" s="219"/>
      <c r="U99" s="219"/>
      <c r="Z99" s="219"/>
      <c r="AA99" s="219"/>
      <c r="AB99" s="219"/>
      <c r="AC99" s="219"/>
      <c r="AD99" s="219"/>
      <c r="AE99" s="219"/>
      <c r="AF99" s="219"/>
      <c r="AG99" s="219"/>
      <c r="AH99" s="219"/>
      <c r="AI99" s="219"/>
    </row>
    <row r="100" spans="1:35" ht="15" customHeight="1">
      <c r="A100" s="219"/>
      <c r="B100" s="219"/>
      <c r="C100" s="219"/>
      <c r="F100" s="219"/>
      <c r="H100" s="219"/>
      <c r="I100" s="219"/>
      <c r="J100" s="219"/>
      <c r="K100" s="219"/>
      <c r="L100" s="219"/>
      <c r="O100" s="219"/>
      <c r="Q100" s="219"/>
      <c r="R100" s="219"/>
      <c r="S100" s="219"/>
      <c r="T100" s="219"/>
      <c r="U100" s="219"/>
      <c r="Z100" s="219"/>
      <c r="AA100" s="219"/>
      <c r="AB100" s="219"/>
      <c r="AC100" s="219"/>
      <c r="AD100" s="219"/>
      <c r="AE100" s="219"/>
      <c r="AF100" s="219"/>
      <c r="AG100" s="219"/>
      <c r="AH100" s="219"/>
      <c r="AI100" s="219"/>
    </row>
    <row r="101" spans="1:35" ht="15" customHeight="1">
      <c r="A101" s="219"/>
      <c r="B101" s="219"/>
      <c r="C101" s="219"/>
      <c r="F101" s="219"/>
      <c r="H101" s="219"/>
      <c r="I101" s="219"/>
      <c r="J101" s="219"/>
      <c r="K101" s="219"/>
      <c r="L101" s="219"/>
      <c r="O101" s="219"/>
      <c r="Q101" s="219"/>
      <c r="R101" s="219"/>
      <c r="S101" s="219"/>
      <c r="T101" s="219"/>
      <c r="U101" s="219"/>
      <c r="Z101" s="219"/>
      <c r="AA101" s="219"/>
      <c r="AB101" s="219"/>
      <c r="AC101" s="219"/>
      <c r="AD101" s="219"/>
      <c r="AE101" s="219"/>
      <c r="AF101" s="219"/>
      <c r="AG101" s="219"/>
      <c r="AH101" s="219"/>
      <c r="AI101" s="219"/>
    </row>
    <row r="102" spans="1:35" ht="15" customHeight="1">
      <c r="A102" s="219"/>
      <c r="B102" s="219"/>
      <c r="C102" s="219"/>
      <c r="F102" s="219"/>
      <c r="H102" s="219"/>
      <c r="I102" s="219"/>
      <c r="J102" s="219"/>
      <c r="K102" s="219"/>
      <c r="L102" s="219"/>
      <c r="O102" s="219"/>
      <c r="Q102" s="219"/>
      <c r="R102" s="219"/>
      <c r="S102" s="219"/>
      <c r="T102" s="219"/>
      <c r="U102" s="219"/>
      <c r="Z102" s="219"/>
      <c r="AA102" s="219"/>
      <c r="AB102" s="219"/>
      <c r="AC102" s="219"/>
      <c r="AD102" s="219"/>
      <c r="AE102" s="219"/>
      <c r="AF102" s="219"/>
      <c r="AG102" s="219"/>
      <c r="AH102" s="219"/>
      <c r="AI102" s="219"/>
    </row>
    <row r="103" spans="1:35" ht="15" customHeight="1">
      <c r="A103" s="219"/>
      <c r="B103" s="219"/>
      <c r="C103" s="219"/>
      <c r="F103" s="219"/>
      <c r="H103" s="219"/>
      <c r="I103" s="219"/>
      <c r="J103" s="219"/>
      <c r="K103" s="219"/>
      <c r="L103" s="219"/>
      <c r="O103" s="219"/>
      <c r="Q103" s="219"/>
      <c r="R103" s="219"/>
      <c r="S103" s="219"/>
      <c r="T103" s="219"/>
      <c r="U103" s="219"/>
      <c r="Z103" s="219"/>
      <c r="AA103" s="219"/>
      <c r="AB103" s="219"/>
      <c r="AC103" s="219"/>
      <c r="AD103" s="219"/>
      <c r="AE103" s="219"/>
      <c r="AF103" s="219"/>
      <c r="AG103" s="219"/>
      <c r="AH103" s="219"/>
      <c r="AI103" s="219"/>
    </row>
    <row r="104" spans="1:35" ht="15" customHeight="1">
      <c r="A104" s="219"/>
      <c r="B104" s="219"/>
      <c r="C104" s="219"/>
      <c r="F104" s="219"/>
      <c r="H104" s="219"/>
      <c r="I104" s="219"/>
      <c r="J104" s="219"/>
      <c r="K104" s="219"/>
      <c r="L104" s="219"/>
      <c r="O104" s="219"/>
      <c r="Q104" s="219"/>
      <c r="R104" s="219"/>
      <c r="S104" s="219"/>
      <c r="T104" s="219"/>
      <c r="U104" s="219"/>
      <c r="Z104" s="219"/>
      <c r="AA104" s="219"/>
      <c r="AB104" s="219"/>
      <c r="AC104" s="219"/>
      <c r="AD104" s="219"/>
      <c r="AE104" s="219"/>
      <c r="AF104" s="219"/>
      <c r="AG104" s="219"/>
      <c r="AH104" s="219"/>
      <c r="AI104" s="219"/>
    </row>
    <row r="105" spans="1:35" ht="15" customHeight="1">
      <c r="A105" s="219"/>
      <c r="B105" s="219"/>
      <c r="C105" s="219"/>
      <c r="F105" s="219"/>
      <c r="H105" s="219"/>
      <c r="I105" s="219"/>
      <c r="J105" s="219"/>
      <c r="K105" s="219"/>
      <c r="L105" s="219"/>
      <c r="O105" s="219"/>
      <c r="Q105" s="219"/>
      <c r="R105" s="219"/>
      <c r="S105" s="219"/>
      <c r="T105" s="219"/>
      <c r="U105" s="219"/>
      <c r="Z105" s="219"/>
      <c r="AA105" s="219"/>
      <c r="AB105" s="219"/>
      <c r="AC105" s="219"/>
      <c r="AD105" s="219"/>
      <c r="AE105" s="219"/>
      <c r="AF105" s="219"/>
      <c r="AG105" s="219"/>
      <c r="AH105" s="219"/>
      <c r="AI105" s="219"/>
    </row>
    <row r="106" spans="1:35" ht="15" customHeight="1">
      <c r="A106" s="219"/>
      <c r="B106" s="219"/>
      <c r="C106" s="219"/>
      <c r="F106" s="219"/>
      <c r="H106" s="219"/>
      <c r="I106" s="219"/>
      <c r="J106" s="219"/>
      <c r="K106" s="219"/>
      <c r="L106" s="219"/>
      <c r="O106" s="219"/>
      <c r="Q106" s="219"/>
      <c r="R106" s="219"/>
      <c r="S106" s="219"/>
      <c r="T106" s="219"/>
      <c r="U106" s="219"/>
      <c r="Z106" s="219"/>
      <c r="AA106" s="219"/>
      <c r="AB106" s="219"/>
      <c r="AC106" s="219"/>
      <c r="AD106" s="219"/>
      <c r="AE106" s="219"/>
      <c r="AF106" s="219"/>
      <c r="AG106" s="219"/>
      <c r="AH106" s="219"/>
      <c r="AI106" s="219"/>
    </row>
    <row r="107" spans="1:35" ht="15" customHeight="1">
      <c r="A107" s="219"/>
      <c r="B107" s="219"/>
      <c r="C107" s="219"/>
      <c r="F107" s="219"/>
      <c r="H107" s="219"/>
      <c r="I107" s="219"/>
      <c r="J107" s="219"/>
      <c r="K107" s="219"/>
      <c r="L107" s="219"/>
      <c r="O107" s="219"/>
      <c r="Q107" s="219"/>
      <c r="R107" s="219"/>
      <c r="S107" s="219"/>
      <c r="T107" s="219"/>
      <c r="U107" s="219"/>
      <c r="Z107" s="219"/>
      <c r="AA107" s="219"/>
      <c r="AB107" s="219"/>
      <c r="AC107" s="219"/>
      <c r="AD107" s="219"/>
      <c r="AE107" s="219"/>
      <c r="AF107" s="219"/>
      <c r="AG107" s="219"/>
      <c r="AH107" s="219"/>
      <c r="AI107" s="219"/>
    </row>
    <row r="108" spans="1:35" ht="15" customHeight="1">
      <c r="A108" s="219"/>
      <c r="B108" s="219"/>
      <c r="C108" s="219"/>
      <c r="F108" s="219"/>
      <c r="H108" s="219"/>
      <c r="I108" s="219"/>
      <c r="J108" s="219"/>
      <c r="K108" s="219"/>
      <c r="L108" s="219"/>
      <c r="O108" s="219"/>
      <c r="Q108" s="219"/>
      <c r="R108" s="219"/>
      <c r="S108" s="219"/>
      <c r="T108" s="219"/>
      <c r="U108" s="219"/>
      <c r="Z108" s="219"/>
      <c r="AA108" s="219"/>
      <c r="AB108" s="219"/>
      <c r="AC108" s="219"/>
      <c r="AD108" s="219"/>
      <c r="AE108" s="219"/>
      <c r="AF108" s="219"/>
      <c r="AG108" s="219"/>
      <c r="AH108" s="219"/>
      <c r="AI108" s="219"/>
    </row>
    <row r="109" spans="1:35" ht="15" customHeight="1">
      <c r="A109" s="219"/>
      <c r="B109" s="219"/>
      <c r="C109" s="219"/>
      <c r="F109" s="219"/>
      <c r="H109" s="219"/>
      <c r="I109" s="219"/>
      <c r="J109" s="219"/>
      <c r="K109" s="219"/>
      <c r="L109" s="219"/>
      <c r="O109" s="219"/>
      <c r="Q109" s="219"/>
      <c r="R109" s="219"/>
      <c r="S109" s="219"/>
      <c r="T109" s="219"/>
      <c r="U109" s="219"/>
      <c r="Z109" s="219"/>
      <c r="AA109" s="219"/>
      <c r="AB109" s="219"/>
      <c r="AC109" s="219"/>
      <c r="AD109" s="219"/>
      <c r="AE109" s="219"/>
      <c r="AF109" s="219"/>
      <c r="AG109" s="219"/>
      <c r="AH109" s="219"/>
      <c r="AI109" s="219"/>
    </row>
    <row r="110" spans="1:35" ht="15" customHeight="1">
      <c r="A110" s="219"/>
      <c r="B110" s="219"/>
      <c r="C110" s="219"/>
      <c r="F110" s="219"/>
      <c r="H110" s="219"/>
      <c r="I110" s="219"/>
      <c r="J110" s="219"/>
      <c r="K110" s="219"/>
      <c r="L110" s="219"/>
      <c r="O110" s="219"/>
      <c r="Q110" s="219"/>
      <c r="R110" s="219"/>
      <c r="S110" s="219"/>
      <c r="T110" s="219"/>
      <c r="U110" s="219"/>
      <c r="Z110" s="219"/>
      <c r="AA110" s="219"/>
      <c r="AB110" s="219"/>
      <c r="AC110" s="219"/>
      <c r="AD110" s="219"/>
      <c r="AE110" s="219"/>
      <c r="AF110" s="219"/>
      <c r="AG110" s="219"/>
      <c r="AH110" s="219"/>
      <c r="AI110" s="219"/>
    </row>
    <row r="111" spans="1:35" ht="15" customHeight="1">
      <c r="A111" s="219"/>
      <c r="B111" s="219"/>
      <c r="C111" s="219"/>
      <c r="F111" s="219"/>
      <c r="H111" s="219"/>
      <c r="I111" s="219"/>
      <c r="J111" s="219"/>
      <c r="K111" s="219"/>
      <c r="L111" s="219"/>
      <c r="O111" s="219"/>
      <c r="Q111" s="219"/>
      <c r="R111" s="219"/>
      <c r="S111" s="219"/>
      <c r="T111" s="219"/>
      <c r="U111" s="219"/>
      <c r="Z111" s="219"/>
      <c r="AA111" s="219"/>
      <c r="AB111" s="219"/>
      <c r="AC111" s="219"/>
      <c r="AD111" s="219"/>
      <c r="AE111" s="219"/>
      <c r="AF111" s="219"/>
      <c r="AG111" s="219"/>
      <c r="AH111" s="219"/>
      <c r="AI111" s="219"/>
    </row>
    <row r="112" spans="1:35" ht="15" customHeight="1">
      <c r="A112" s="219"/>
      <c r="B112" s="219"/>
      <c r="C112" s="219"/>
      <c r="F112" s="219"/>
      <c r="H112" s="219"/>
      <c r="I112" s="219"/>
      <c r="J112" s="219"/>
      <c r="K112" s="219"/>
      <c r="L112" s="219"/>
      <c r="O112" s="219"/>
      <c r="Q112" s="219"/>
      <c r="R112" s="219"/>
      <c r="S112" s="219"/>
      <c r="T112" s="219"/>
      <c r="U112" s="219"/>
      <c r="Z112" s="219"/>
      <c r="AA112" s="219"/>
      <c r="AB112" s="219"/>
      <c r="AC112" s="219"/>
      <c r="AD112" s="219"/>
      <c r="AE112" s="219"/>
      <c r="AF112" s="219"/>
      <c r="AG112" s="219"/>
      <c r="AH112" s="219"/>
      <c r="AI112" s="219"/>
    </row>
    <row r="113" spans="1:35" ht="15" customHeight="1">
      <c r="A113" s="219"/>
      <c r="B113" s="219"/>
      <c r="C113" s="219"/>
      <c r="F113" s="219"/>
      <c r="H113" s="219"/>
      <c r="I113" s="219"/>
      <c r="J113" s="219"/>
      <c r="K113" s="219"/>
      <c r="L113" s="219"/>
      <c r="O113" s="219"/>
      <c r="Q113" s="219"/>
      <c r="R113" s="219"/>
      <c r="S113" s="219"/>
      <c r="T113" s="219"/>
      <c r="U113" s="219"/>
      <c r="Z113" s="219"/>
      <c r="AA113" s="219"/>
      <c r="AB113" s="219"/>
      <c r="AC113" s="219"/>
      <c r="AD113" s="219"/>
      <c r="AE113" s="219"/>
      <c r="AF113" s="219"/>
      <c r="AG113" s="219"/>
      <c r="AH113" s="219"/>
      <c r="AI113" s="219"/>
    </row>
    <row r="114" spans="1:35" ht="15" customHeight="1">
      <c r="A114" s="219"/>
      <c r="B114" s="219"/>
      <c r="C114" s="219"/>
      <c r="F114" s="219"/>
      <c r="H114" s="219"/>
      <c r="I114" s="219"/>
      <c r="J114" s="219"/>
      <c r="K114" s="219"/>
      <c r="L114" s="219"/>
      <c r="O114" s="219"/>
      <c r="Q114" s="219"/>
      <c r="R114" s="219"/>
      <c r="S114" s="219"/>
      <c r="T114" s="219"/>
      <c r="U114" s="219"/>
      <c r="Z114" s="219"/>
      <c r="AA114" s="219"/>
      <c r="AB114" s="219"/>
      <c r="AC114" s="219"/>
      <c r="AD114" s="219"/>
      <c r="AE114" s="219"/>
      <c r="AF114" s="219"/>
      <c r="AG114" s="219"/>
      <c r="AH114" s="219"/>
      <c r="AI114" s="219"/>
    </row>
    <row r="115" spans="1:35" ht="15" customHeight="1">
      <c r="A115" s="219"/>
      <c r="B115" s="219"/>
      <c r="C115" s="219"/>
      <c r="F115" s="219"/>
      <c r="H115" s="219"/>
      <c r="I115" s="219"/>
      <c r="J115" s="219"/>
      <c r="K115" s="219"/>
      <c r="L115" s="219"/>
      <c r="O115" s="219"/>
      <c r="Q115" s="219"/>
      <c r="R115" s="219"/>
      <c r="S115" s="219"/>
      <c r="T115" s="219"/>
      <c r="U115" s="219"/>
      <c r="Z115" s="219"/>
      <c r="AA115" s="219"/>
      <c r="AB115" s="219"/>
      <c r="AC115" s="219"/>
      <c r="AD115" s="219"/>
      <c r="AE115" s="219"/>
      <c r="AF115" s="219"/>
      <c r="AG115" s="219"/>
      <c r="AH115" s="219"/>
      <c r="AI115" s="219"/>
    </row>
    <row r="116" spans="1:35" ht="15" customHeight="1">
      <c r="A116" s="219"/>
      <c r="B116" s="219"/>
      <c r="C116" s="219"/>
      <c r="F116" s="219"/>
      <c r="H116" s="219"/>
      <c r="I116" s="219"/>
      <c r="J116" s="219"/>
      <c r="K116" s="219"/>
      <c r="L116" s="219"/>
      <c r="O116" s="219"/>
      <c r="Q116" s="219"/>
      <c r="R116" s="219"/>
      <c r="S116" s="219"/>
      <c r="T116" s="219"/>
      <c r="U116" s="219"/>
      <c r="Z116" s="219"/>
      <c r="AA116" s="219"/>
      <c r="AB116" s="219"/>
      <c r="AC116" s="219"/>
      <c r="AD116" s="219"/>
      <c r="AE116" s="219"/>
      <c r="AF116" s="219"/>
      <c r="AG116" s="219"/>
      <c r="AH116" s="219"/>
      <c r="AI116" s="219"/>
    </row>
    <row r="117" spans="1:35" ht="15" customHeight="1">
      <c r="A117" s="219"/>
      <c r="B117" s="219"/>
      <c r="C117" s="219"/>
      <c r="F117" s="219"/>
      <c r="H117" s="219"/>
      <c r="I117" s="219"/>
      <c r="J117" s="219"/>
      <c r="K117" s="219"/>
      <c r="L117" s="219"/>
      <c r="O117" s="219"/>
      <c r="Q117" s="219"/>
      <c r="R117" s="219"/>
      <c r="S117" s="219"/>
      <c r="T117" s="219"/>
      <c r="U117" s="219"/>
      <c r="Z117" s="219"/>
      <c r="AA117" s="219"/>
      <c r="AB117" s="219"/>
      <c r="AC117" s="219"/>
      <c r="AD117" s="219"/>
      <c r="AE117" s="219"/>
      <c r="AF117" s="219"/>
      <c r="AG117" s="219"/>
      <c r="AH117" s="219"/>
      <c r="AI117" s="219"/>
    </row>
    <row r="118" spans="1:35" ht="15" customHeight="1">
      <c r="A118" s="219"/>
      <c r="B118" s="219"/>
      <c r="C118" s="219"/>
      <c r="F118" s="219"/>
      <c r="H118" s="219"/>
      <c r="I118" s="219"/>
      <c r="J118" s="219"/>
      <c r="K118" s="219"/>
      <c r="L118" s="219"/>
      <c r="O118" s="219"/>
      <c r="Q118" s="219"/>
      <c r="R118" s="219"/>
      <c r="S118" s="219"/>
      <c r="T118" s="219"/>
      <c r="U118" s="219"/>
      <c r="Z118" s="219"/>
      <c r="AA118" s="219"/>
      <c r="AB118" s="219"/>
      <c r="AC118" s="219"/>
      <c r="AD118" s="219"/>
      <c r="AE118" s="219"/>
      <c r="AF118" s="219"/>
      <c r="AG118" s="219"/>
      <c r="AH118" s="219"/>
      <c r="AI118" s="219"/>
    </row>
    <row r="119" spans="1:35" ht="15" customHeight="1">
      <c r="A119" s="219"/>
      <c r="B119" s="219"/>
      <c r="C119" s="219"/>
      <c r="F119" s="219"/>
      <c r="H119" s="219"/>
      <c r="I119" s="219"/>
      <c r="J119" s="219"/>
      <c r="K119" s="219"/>
      <c r="L119" s="219"/>
      <c r="O119" s="219"/>
      <c r="Q119" s="219"/>
      <c r="R119" s="219"/>
      <c r="S119" s="219"/>
      <c r="T119" s="219"/>
      <c r="U119" s="219"/>
      <c r="Z119" s="219"/>
      <c r="AA119" s="219"/>
      <c r="AB119" s="219"/>
      <c r="AC119" s="219"/>
      <c r="AD119" s="219"/>
      <c r="AE119" s="219"/>
      <c r="AF119" s="219"/>
      <c r="AG119" s="219"/>
      <c r="AH119" s="219"/>
      <c r="AI119" s="219"/>
    </row>
    <row r="120" spans="1:35" ht="15" customHeight="1">
      <c r="A120" s="219"/>
      <c r="B120" s="219"/>
      <c r="C120" s="219"/>
      <c r="F120" s="219"/>
      <c r="H120" s="219"/>
      <c r="I120" s="219"/>
      <c r="J120" s="219"/>
      <c r="K120" s="219"/>
      <c r="L120" s="219"/>
      <c r="O120" s="219"/>
      <c r="Q120" s="219"/>
      <c r="R120" s="219"/>
      <c r="S120" s="219"/>
      <c r="T120" s="219"/>
      <c r="U120" s="219"/>
      <c r="Z120" s="219"/>
      <c r="AA120" s="219"/>
      <c r="AB120" s="219"/>
      <c r="AC120" s="219"/>
      <c r="AD120" s="219"/>
      <c r="AE120" s="219"/>
      <c r="AF120" s="219"/>
      <c r="AG120" s="219"/>
      <c r="AH120" s="219"/>
      <c r="AI120" s="219"/>
    </row>
    <row r="121" spans="1:35" ht="15" customHeight="1">
      <c r="A121" s="219"/>
      <c r="B121" s="219"/>
      <c r="C121" s="219"/>
      <c r="F121" s="219"/>
      <c r="H121" s="219"/>
      <c r="I121" s="219"/>
      <c r="J121" s="219"/>
      <c r="K121" s="219"/>
      <c r="L121" s="219"/>
      <c r="O121" s="219"/>
      <c r="Q121" s="219"/>
      <c r="R121" s="219"/>
      <c r="S121" s="219"/>
      <c r="T121" s="219"/>
      <c r="U121" s="219"/>
      <c r="Z121" s="219"/>
      <c r="AA121" s="219"/>
      <c r="AB121" s="219"/>
      <c r="AC121" s="219"/>
      <c r="AD121" s="219"/>
      <c r="AE121" s="219"/>
      <c r="AF121" s="219"/>
      <c r="AG121" s="219"/>
      <c r="AH121" s="219"/>
      <c r="AI121" s="219"/>
    </row>
    <row r="122" spans="1:35" ht="15" customHeight="1">
      <c r="A122" s="219"/>
      <c r="B122" s="219"/>
      <c r="C122" s="219"/>
      <c r="F122" s="219"/>
      <c r="H122" s="219"/>
      <c r="I122" s="219"/>
      <c r="J122" s="219"/>
      <c r="K122" s="219"/>
      <c r="L122" s="219"/>
      <c r="O122" s="219"/>
      <c r="Q122" s="219"/>
      <c r="R122" s="219"/>
      <c r="S122" s="219"/>
      <c r="T122" s="219"/>
      <c r="U122" s="219"/>
      <c r="Z122" s="219"/>
      <c r="AA122" s="219"/>
      <c r="AB122" s="219"/>
      <c r="AC122" s="219"/>
      <c r="AD122" s="219"/>
      <c r="AE122" s="219"/>
      <c r="AF122" s="219"/>
      <c r="AG122" s="219"/>
      <c r="AH122" s="219"/>
      <c r="AI122" s="219"/>
    </row>
    <row r="123" spans="1:35" ht="15" customHeight="1">
      <c r="A123" s="219"/>
      <c r="B123" s="219"/>
      <c r="C123" s="219"/>
      <c r="F123" s="219"/>
      <c r="H123" s="219"/>
      <c r="I123" s="219"/>
      <c r="J123" s="219"/>
      <c r="K123" s="219"/>
      <c r="L123" s="219"/>
      <c r="O123" s="219"/>
      <c r="Q123" s="219"/>
      <c r="R123" s="219"/>
      <c r="S123" s="219"/>
      <c r="T123" s="219"/>
      <c r="U123" s="219"/>
      <c r="Z123" s="219"/>
      <c r="AA123" s="219"/>
      <c r="AB123" s="219"/>
      <c r="AC123" s="219"/>
      <c r="AD123" s="219"/>
      <c r="AE123" s="219"/>
      <c r="AF123" s="219"/>
      <c r="AG123" s="219"/>
      <c r="AH123" s="219"/>
      <c r="AI123" s="219"/>
    </row>
    <row r="124" spans="1:35" ht="15" customHeight="1">
      <c r="A124" s="219"/>
      <c r="B124" s="219"/>
      <c r="C124" s="219"/>
      <c r="F124" s="219"/>
      <c r="H124" s="219"/>
      <c r="I124" s="219"/>
      <c r="J124" s="219"/>
      <c r="K124" s="219"/>
      <c r="L124" s="219"/>
      <c r="O124" s="219"/>
      <c r="Q124" s="219"/>
      <c r="R124" s="219"/>
      <c r="S124" s="219"/>
      <c r="T124" s="219"/>
      <c r="U124" s="219"/>
      <c r="Z124" s="219"/>
      <c r="AA124" s="219"/>
      <c r="AB124" s="219"/>
      <c r="AC124" s="219"/>
      <c r="AD124" s="219"/>
      <c r="AE124" s="219"/>
      <c r="AF124" s="219"/>
      <c r="AG124" s="219"/>
      <c r="AH124" s="219"/>
      <c r="AI124" s="219"/>
    </row>
    <row r="125" spans="1:35" ht="15" customHeight="1">
      <c r="A125" s="219"/>
      <c r="B125" s="219"/>
      <c r="C125" s="219"/>
      <c r="F125" s="219"/>
      <c r="H125" s="219"/>
      <c r="I125" s="219"/>
      <c r="J125" s="219"/>
      <c r="K125" s="219"/>
      <c r="L125" s="219"/>
      <c r="O125" s="219"/>
      <c r="Q125" s="219"/>
      <c r="R125" s="219"/>
      <c r="S125" s="219"/>
      <c r="T125" s="219"/>
      <c r="U125" s="219"/>
      <c r="Z125" s="219"/>
      <c r="AA125" s="219"/>
      <c r="AB125" s="219"/>
      <c r="AC125" s="219"/>
      <c r="AD125" s="219"/>
      <c r="AE125" s="219"/>
      <c r="AF125" s="219"/>
      <c r="AG125" s="219"/>
      <c r="AH125" s="219"/>
      <c r="AI125" s="219"/>
    </row>
    <row r="126" spans="1:35" ht="15" customHeight="1">
      <c r="A126" s="219"/>
      <c r="B126" s="219"/>
      <c r="C126" s="219"/>
      <c r="F126" s="219"/>
      <c r="H126" s="219"/>
      <c r="I126" s="219"/>
      <c r="J126" s="219"/>
      <c r="K126" s="219"/>
      <c r="L126" s="219"/>
      <c r="O126" s="219"/>
      <c r="Q126" s="219"/>
      <c r="R126" s="219"/>
      <c r="S126" s="219"/>
      <c r="T126" s="219"/>
      <c r="U126" s="219"/>
      <c r="Z126" s="219"/>
      <c r="AA126" s="219"/>
      <c r="AB126" s="219"/>
      <c r="AC126" s="219"/>
      <c r="AD126" s="219"/>
      <c r="AE126" s="219"/>
      <c r="AF126" s="219"/>
      <c r="AG126" s="219"/>
      <c r="AH126" s="219"/>
      <c r="AI126" s="219"/>
    </row>
    <row r="127" spans="1:35" ht="15" customHeight="1">
      <c r="A127" s="219"/>
      <c r="B127" s="219"/>
      <c r="C127" s="219"/>
      <c r="F127" s="219"/>
      <c r="H127" s="219"/>
      <c r="I127" s="219"/>
      <c r="J127" s="219"/>
      <c r="K127" s="219"/>
      <c r="L127" s="219"/>
      <c r="O127" s="219"/>
      <c r="Q127" s="219"/>
      <c r="R127" s="219"/>
      <c r="S127" s="219"/>
      <c r="T127" s="219"/>
      <c r="U127" s="219"/>
      <c r="Z127" s="219"/>
      <c r="AA127" s="219"/>
      <c r="AB127" s="219"/>
      <c r="AC127" s="219"/>
      <c r="AD127" s="219"/>
      <c r="AE127" s="219"/>
      <c r="AF127" s="219"/>
      <c r="AG127" s="219"/>
      <c r="AH127" s="219"/>
      <c r="AI127" s="219"/>
    </row>
    <row r="128" spans="1:35" ht="15" customHeight="1">
      <c r="A128" s="219"/>
      <c r="B128" s="219"/>
      <c r="C128" s="219"/>
      <c r="F128" s="219"/>
      <c r="H128" s="219"/>
      <c r="I128" s="219"/>
      <c r="J128" s="219"/>
      <c r="K128" s="219"/>
      <c r="L128" s="219"/>
      <c r="O128" s="219"/>
      <c r="Q128" s="219"/>
      <c r="R128" s="219"/>
      <c r="S128" s="219"/>
      <c r="T128" s="219"/>
      <c r="U128" s="219"/>
      <c r="Z128" s="219"/>
      <c r="AA128" s="219"/>
      <c r="AB128" s="219"/>
      <c r="AC128" s="219"/>
      <c r="AD128" s="219"/>
      <c r="AE128" s="219"/>
      <c r="AF128" s="219"/>
      <c r="AG128" s="219"/>
      <c r="AH128" s="219"/>
      <c r="AI128" s="219"/>
    </row>
    <row r="129" spans="1:35" ht="15" customHeight="1">
      <c r="A129" s="219"/>
      <c r="B129" s="219"/>
      <c r="C129" s="219"/>
      <c r="F129" s="219"/>
      <c r="H129" s="219"/>
      <c r="I129" s="219"/>
      <c r="J129" s="219"/>
      <c r="K129" s="219"/>
      <c r="L129" s="219"/>
      <c r="O129" s="219"/>
      <c r="Q129" s="219"/>
      <c r="R129" s="219"/>
      <c r="S129" s="219"/>
      <c r="T129" s="219"/>
      <c r="U129" s="219"/>
      <c r="Z129" s="219"/>
      <c r="AA129" s="219"/>
      <c r="AB129" s="219"/>
      <c r="AC129" s="219"/>
      <c r="AD129" s="219"/>
      <c r="AE129" s="219"/>
      <c r="AF129" s="219"/>
      <c r="AG129" s="219"/>
      <c r="AH129" s="219"/>
      <c r="AI129" s="219"/>
    </row>
    <row r="130" spans="1:35" ht="15" customHeight="1">
      <c r="A130" s="219"/>
      <c r="B130" s="219"/>
      <c r="C130" s="219"/>
      <c r="F130" s="219"/>
      <c r="H130" s="219"/>
      <c r="I130" s="219"/>
      <c r="J130" s="219"/>
      <c r="K130" s="219"/>
      <c r="L130" s="219"/>
      <c r="O130" s="219"/>
      <c r="Q130" s="219"/>
      <c r="R130" s="219"/>
      <c r="S130" s="219"/>
      <c r="T130" s="219"/>
      <c r="U130" s="219"/>
      <c r="Z130" s="219"/>
      <c r="AA130" s="219"/>
      <c r="AB130" s="219"/>
      <c r="AC130" s="219"/>
      <c r="AD130" s="219"/>
      <c r="AE130" s="219"/>
      <c r="AF130" s="219"/>
      <c r="AG130" s="219"/>
      <c r="AH130" s="219"/>
      <c r="AI130" s="219"/>
    </row>
    <row r="131" spans="1:35" ht="15" customHeight="1">
      <c r="A131" s="219"/>
      <c r="B131" s="219"/>
      <c r="C131" s="219"/>
      <c r="F131" s="219"/>
      <c r="H131" s="219"/>
      <c r="I131" s="219"/>
      <c r="J131" s="219"/>
      <c r="K131" s="219"/>
      <c r="L131" s="219"/>
      <c r="O131" s="219"/>
      <c r="Q131" s="219"/>
      <c r="R131" s="219"/>
      <c r="S131" s="219"/>
      <c r="T131" s="219"/>
      <c r="U131" s="219"/>
      <c r="Z131" s="219"/>
      <c r="AA131" s="219"/>
      <c r="AB131" s="219"/>
      <c r="AC131" s="219"/>
      <c r="AD131" s="219"/>
      <c r="AE131" s="219"/>
      <c r="AF131" s="219"/>
      <c r="AG131" s="219"/>
      <c r="AH131" s="219"/>
      <c r="AI131" s="219"/>
    </row>
    <row r="132" spans="1:35" ht="15" customHeight="1">
      <c r="A132" s="219"/>
      <c r="B132" s="219"/>
      <c r="C132" s="219"/>
      <c r="F132" s="219"/>
      <c r="H132" s="219"/>
      <c r="I132" s="219"/>
      <c r="J132" s="219"/>
      <c r="K132" s="219"/>
      <c r="L132" s="219"/>
      <c r="O132" s="219"/>
      <c r="Q132" s="219"/>
      <c r="R132" s="219"/>
      <c r="S132" s="219"/>
      <c r="T132" s="219"/>
      <c r="U132" s="219"/>
      <c r="Z132" s="219"/>
      <c r="AA132" s="219"/>
      <c r="AB132" s="219"/>
      <c r="AC132" s="219"/>
      <c r="AD132" s="219"/>
      <c r="AE132" s="219"/>
      <c r="AF132" s="219"/>
      <c r="AG132" s="219"/>
      <c r="AH132" s="219"/>
      <c r="AI132" s="219"/>
    </row>
    <row r="133" spans="1:35" ht="15" customHeight="1">
      <c r="A133" s="219"/>
      <c r="B133" s="219"/>
      <c r="C133" s="219"/>
      <c r="F133" s="219"/>
      <c r="H133" s="219"/>
      <c r="I133" s="219"/>
      <c r="J133" s="219"/>
      <c r="K133" s="219"/>
      <c r="L133" s="219"/>
      <c r="O133" s="219"/>
      <c r="Q133" s="219"/>
      <c r="R133" s="219"/>
      <c r="S133" s="219"/>
      <c r="T133" s="219"/>
      <c r="U133" s="219"/>
      <c r="Z133" s="219"/>
      <c r="AA133" s="219"/>
      <c r="AB133" s="219"/>
      <c r="AC133" s="219"/>
      <c r="AD133" s="219"/>
      <c r="AE133" s="219"/>
      <c r="AF133" s="219"/>
      <c r="AG133" s="219"/>
      <c r="AH133" s="219"/>
      <c r="AI133" s="219"/>
    </row>
    <row r="134" spans="1:35" ht="15" customHeight="1">
      <c r="A134" s="219"/>
      <c r="B134" s="219"/>
      <c r="C134" s="219"/>
      <c r="F134" s="219"/>
      <c r="H134" s="219"/>
      <c r="I134" s="219"/>
      <c r="J134" s="219"/>
      <c r="K134" s="219"/>
      <c r="L134" s="219"/>
      <c r="O134" s="219"/>
      <c r="Q134" s="219"/>
      <c r="R134" s="219"/>
      <c r="S134" s="219"/>
      <c r="T134" s="219"/>
      <c r="U134" s="219"/>
      <c r="Z134" s="219"/>
      <c r="AA134" s="219"/>
      <c r="AB134" s="219"/>
      <c r="AC134" s="219"/>
      <c r="AD134" s="219"/>
      <c r="AE134" s="219"/>
      <c r="AF134" s="219"/>
      <c r="AG134" s="219"/>
      <c r="AH134" s="219"/>
      <c r="AI134" s="219"/>
    </row>
    <row r="135" spans="1:35" ht="15" customHeight="1">
      <c r="A135" s="219"/>
      <c r="B135" s="219"/>
      <c r="C135" s="219"/>
      <c r="F135" s="219"/>
      <c r="H135" s="219"/>
      <c r="I135" s="219"/>
      <c r="J135" s="219"/>
      <c r="K135" s="219"/>
      <c r="L135" s="219"/>
      <c r="O135" s="219"/>
      <c r="Q135" s="219"/>
      <c r="R135" s="219"/>
      <c r="S135" s="219"/>
      <c r="T135" s="219"/>
      <c r="U135" s="219"/>
      <c r="Z135" s="219"/>
      <c r="AA135" s="219"/>
      <c r="AB135" s="219"/>
      <c r="AC135" s="219"/>
      <c r="AD135" s="219"/>
      <c r="AE135" s="219"/>
      <c r="AF135" s="219"/>
      <c r="AG135" s="219"/>
      <c r="AH135" s="219"/>
      <c r="AI135" s="219"/>
    </row>
    <row r="136" spans="1:35" ht="15" customHeight="1">
      <c r="A136" s="219"/>
      <c r="B136" s="219"/>
      <c r="C136" s="219"/>
      <c r="F136" s="219"/>
      <c r="H136" s="219"/>
      <c r="I136" s="219"/>
      <c r="J136" s="219"/>
      <c r="K136" s="219"/>
      <c r="L136" s="219"/>
      <c r="O136" s="219"/>
      <c r="Q136" s="219"/>
      <c r="R136" s="219"/>
      <c r="S136" s="219"/>
      <c r="T136" s="219"/>
      <c r="U136" s="219"/>
      <c r="Z136" s="219"/>
      <c r="AA136" s="219"/>
      <c r="AB136" s="219"/>
      <c r="AC136" s="219"/>
      <c r="AD136" s="219"/>
      <c r="AE136" s="219"/>
      <c r="AF136" s="219"/>
      <c r="AG136" s="219"/>
      <c r="AH136" s="219"/>
      <c r="AI136" s="219"/>
    </row>
    <row r="137" spans="1:35" ht="15" customHeight="1">
      <c r="A137" s="219"/>
      <c r="B137" s="219"/>
      <c r="C137" s="219"/>
      <c r="F137" s="219"/>
      <c r="H137" s="219"/>
      <c r="I137" s="219"/>
      <c r="J137" s="219"/>
      <c r="K137" s="219"/>
      <c r="L137" s="219"/>
      <c r="O137" s="219"/>
      <c r="Q137" s="219"/>
      <c r="R137" s="219"/>
      <c r="S137" s="219"/>
      <c r="T137" s="219"/>
      <c r="U137" s="219"/>
      <c r="Z137" s="219"/>
      <c r="AA137" s="219"/>
      <c r="AB137" s="219"/>
      <c r="AC137" s="219"/>
      <c r="AD137" s="219"/>
      <c r="AE137" s="219"/>
      <c r="AF137" s="219"/>
      <c r="AG137" s="219"/>
      <c r="AH137" s="219"/>
      <c r="AI137" s="219"/>
    </row>
    <row r="138" spans="1:35" ht="15" customHeight="1">
      <c r="A138" s="219"/>
      <c r="B138" s="219"/>
      <c r="C138" s="219"/>
      <c r="F138" s="219"/>
      <c r="H138" s="219"/>
      <c r="I138" s="219"/>
      <c r="J138" s="219"/>
      <c r="K138" s="219"/>
      <c r="L138" s="219"/>
      <c r="O138" s="219"/>
      <c r="Q138" s="219"/>
      <c r="R138" s="219"/>
      <c r="S138" s="219"/>
      <c r="T138" s="219"/>
      <c r="U138" s="219"/>
      <c r="Z138" s="219"/>
      <c r="AA138" s="219"/>
      <c r="AB138" s="219"/>
      <c r="AC138" s="219"/>
      <c r="AD138" s="219"/>
      <c r="AE138" s="219"/>
      <c r="AF138" s="219"/>
      <c r="AG138" s="219"/>
      <c r="AH138" s="219"/>
      <c r="AI138" s="219"/>
    </row>
    <row r="139" spans="1:35" ht="15" customHeight="1">
      <c r="A139" s="219"/>
      <c r="B139" s="219"/>
      <c r="C139" s="219"/>
      <c r="F139" s="219"/>
      <c r="H139" s="219"/>
      <c r="I139" s="219"/>
      <c r="J139" s="219"/>
      <c r="K139" s="219"/>
      <c r="L139" s="219"/>
      <c r="O139" s="219"/>
      <c r="Q139" s="219"/>
      <c r="R139" s="219"/>
      <c r="S139" s="219"/>
      <c r="T139" s="219"/>
      <c r="U139" s="219"/>
      <c r="Z139" s="219"/>
      <c r="AA139" s="219"/>
      <c r="AB139" s="219"/>
      <c r="AC139" s="219"/>
      <c r="AD139" s="219"/>
      <c r="AE139" s="219"/>
      <c r="AF139" s="219"/>
      <c r="AG139" s="219"/>
      <c r="AH139" s="219"/>
      <c r="AI139" s="219"/>
    </row>
    <row r="140" spans="1:35" ht="15" customHeight="1">
      <c r="A140" s="219"/>
      <c r="B140" s="219"/>
      <c r="C140" s="219"/>
      <c r="F140" s="219"/>
      <c r="H140" s="219"/>
      <c r="I140" s="219"/>
      <c r="J140" s="219"/>
      <c r="K140" s="219"/>
      <c r="L140" s="219"/>
      <c r="O140" s="219"/>
      <c r="Q140" s="219"/>
      <c r="R140" s="219"/>
      <c r="S140" s="219"/>
      <c r="T140" s="219"/>
      <c r="U140" s="219"/>
      <c r="Z140" s="219"/>
      <c r="AA140" s="219"/>
      <c r="AB140" s="219"/>
      <c r="AC140" s="219"/>
      <c r="AD140" s="219"/>
      <c r="AE140" s="219"/>
      <c r="AF140" s="219"/>
      <c r="AG140" s="219"/>
      <c r="AH140" s="219"/>
      <c r="AI140" s="219"/>
    </row>
    <row r="141" spans="1:35" ht="15" customHeight="1">
      <c r="A141" s="219"/>
      <c r="B141" s="219"/>
      <c r="C141" s="219"/>
      <c r="F141" s="219"/>
      <c r="H141" s="219"/>
      <c r="I141" s="219"/>
      <c r="J141" s="219"/>
      <c r="K141" s="219"/>
      <c r="L141" s="219"/>
      <c r="O141" s="219"/>
      <c r="Q141" s="219"/>
      <c r="R141" s="219"/>
      <c r="S141" s="219"/>
      <c r="T141" s="219"/>
      <c r="U141" s="219"/>
      <c r="Z141" s="219"/>
      <c r="AA141" s="219"/>
      <c r="AB141" s="219"/>
      <c r="AC141" s="219"/>
      <c r="AD141" s="219"/>
      <c r="AE141" s="219"/>
      <c r="AF141" s="219"/>
      <c r="AG141" s="219"/>
      <c r="AH141" s="219"/>
      <c r="AI141" s="219"/>
    </row>
    <row r="142" spans="1:35" ht="15" customHeight="1">
      <c r="A142" s="219"/>
      <c r="B142" s="219"/>
      <c r="C142" s="219"/>
      <c r="F142" s="219"/>
      <c r="H142" s="219"/>
      <c r="I142" s="219"/>
      <c r="J142" s="219"/>
      <c r="K142" s="219"/>
      <c r="L142" s="219"/>
      <c r="O142" s="219"/>
      <c r="Q142" s="219"/>
      <c r="R142" s="219"/>
      <c r="S142" s="219"/>
      <c r="T142" s="219"/>
      <c r="U142" s="219"/>
      <c r="Z142" s="219"/>
      <c r="AA142" s="219"/>
      <c r="AB142" s="219"/>
      <c r="AC142" s="219"/>
      <c r="AD142" s="219"/>
      <c r="AE142" s="219"/>
      <c r="AF142" s="219"/>
      <c r="AG142" s="219"/>
      <c r="AH142" s="219"/>
      <c r="AI142" s="219"/>
    </row>
    <row r="143" spans="1:35" ht="15" customHeight="1">
      <c r="A143" s="219"/>
      <c r="B143" s="219"/>
      <c r="C143" s="219"/>
      <c r="F143" s="219"/>
      <c r="H143" s="219"/>
      <c r="I143" s="219"/>
      <c r="J143" s="219"/>
      <c r="K143" s="219"/>
      <c r="L143" s="219"/>
      <c r="O143" s="219"/>
      <c r="Q143" s="219"/>
      <c r="R143" s="219"/>
      <c r="S143" s="219"/>
      <c r="T143" s="219"/>
      <c r="U143" s="219"/>
      <c r="Z143" s="219"/>
      <c r="AA143" s="219"/>
      <c r="AB143" s="219"/>
      <c r="AC143" s="219"/>
      <c r="AD143" s="219"/>
      <c r="AE143" s="219"/>
      <c r="AF143" s="219"/>
      <c r="AG143" s="219"/>
      <c r="AH143" s="219"/>
      <c r="AI143" s="219"/>
    </row>
    <row r="144" spans="1:35" ht="15" customHeight="1">
      <c r="A144" s="219"/>
      <c r="B144" s="219"/>
      <c r="C144" s="219"/>
      <c r="F144" s="219"/>
      <c r="H144" s="219"/>
      <c r="I144" s="219"/>
      <c r="J144" s="219"/>
      <c r="K144" s="219"/>
      <c r="L144" s="219"/>
      <c r="O144" s="219"/>
      <c r="Q144" s="219"/>
      <c r="R144" s="219"/>
      <c r="S144" s="219"/>
      <c r="T144" s="219"/>
      <c r="U144" s="219"/>
      <c r="Z144" s="219"/>
      <c r="AA144" s="219"/>
      <c r="AB144" s="219"/>
      <c r="AC144" s="219"/>
      <c r="AD144" s="219"/>
      <c r="AE144" s="219"/>
      <c r="AF144" s="219"/>
      <c r="AG144" s="219"/>
      <c r="AH144" s="219"/>
      <c r="AI144" s="219"/>
    </row>
    <row r="145" spans="1:35" ht="15" customHeight="1">
      <c r="A145" s="219"/>
      <c r="B145" s="219"/>
      <c r="C145" s="219"/>
      <c r="F145" s="219"/>
      <c r="H145" s="219"/>
      <c r="I145" s="219"/>
      <c r="J145" s="219"/>
      <c r="K145" s="219"/>
      <c r="L145" s="219"/>
      <c r="O145" s="219"/>
      <c r="Q145" s="219"/>
      <c r="R145" s="219"/>
      <c r="S145" s="219"/>
      <c r="T145" s="219"/>
      <c r="U145" s="219"/>
      <c r="Z145" s="219"/>
      <c r="AA145" s="219"/>
      <c r="AB145" s="219"/>
      <c r="AC145" s="219"/>
      <c r="AD145" s="219"/>
      <c r="AE145" s="219"/>
      <c r="AF145" s="219"/>
      <c r="AG145" s="219"/>
      <c r="AH145" s="219"/>
      <c r="AI145" s="219"/>
    </row>
    <row r="146" spans="1:35" ht="15" customHeight="1">
      <c r="A146" s="219"/>
      <c r="B146" s="219"/>
      <c r="C146" s="219"/>
      <c r="F146" s="219"/>
      <c r="H146" s="219"/>
      <c r="I146" s="219"/>
      <c r="J146" s="219"/>
      <c r="K146" s="219"/>
      <c r="L146" s="219"/>
      <c r="O146" s="219"/>
      <c r="Q146" s="219"/>
      <c r="R146" s="219"/>
      <c r="S146" s="219"/>
      <c r="T146" s="219"/>
      <c r="U146" s="219"/>
      <c r="Z146" s="219"/>
      <c r="AA146" s="219"/>
      <c r="AB146" s="219"/>
      <c r="AC146" s="219"/>
      <c r="AD146" s="219"/>
      <c r="AE146" s="219"/>
      <c r="AF146" s="219"/>
      <c r="AG146" s="219"/>
      <c r="AH146" s="219"/>
      <c r="AI146" s="219"/>
    </row>
    <row r="147" spans="1:35" ht="15" customHeight="1">
      <c r="A147" s="219"/>
      <c r="B147" s="219"/>
      <c r="C147" s="219"/>
      <c r="F147" s="219"/>
      <c r="H147" s="219"/>
      <c r="I147" s="219"/>
      <c r="J147" s="219"/>
      <c r="K147" s="219"/>
      <c r="L147" s="219"/>
      <c r="O147" s="219"/>
      <c r="Q147" s="219"/>
      <c r="R147" s="219"/>
      <c r="S147" s="219"/>
      <c r="T147" s="219"/>
      <c r="U147" s="219"/>
      <c r="Z147" s="219"/>
      <c r="AA147" s="219"/>
      <c r="AB147" s="219"/>
      <c r="AC147" s="219"/>
      <c r="AD147" s="219"/>
      <c r="AE147" s="219"/>
      <c r="AF147" s="219"/>
      <c r="AG147" s="219"/>
      <c r="AH147" s="219"/>
      <c r="AI147" s="219"/>
    </row>
    <row r="148" spans="1:35" ht="15" customHeight="1">
      <c r="A148" s="219"/>
      <c r="B148" s="219"/>
      <c r="C148" s="219"/>
      <c r="F148" s="219"/>
      <c r="H148" s="219"/>
      <c r="I148" s="219"/>
      <c r="J148" s="219"/>
      <c r="K148" s="219"/>
      <c r="L148" s="219"/>
      <c r="O148" s="219"/>
      <c r="Q148" s="219"/>
      <c r="R148" s="219"/>
      <c r="S148" s="219"/>
      <c r="T148" s="219"/>
      <c r="U148" s="219"/>
      <c r="Z148" s="219"/>
      <c r="AA148" s="219"/>
      <c r="AB148" s="219"/>
      <c r="AC148" s="219"/>
      <c r="AD148" s="219"/>
      <c r="AE148" s="219"/>
      <c r="AF148" s="219"/>
      <c r="AG148" s="219"/>
      <c r="AH148" s="219"/>
      <c r="AI148" s="219"/>
    </row>
    <row r="149" spans="1:35" ht="15" customHeight="1">
      <c r="A149" s="219"/>
      <c r="B149" s="219"/>
      <c r="C149" s="219"/>
      <c r="F149" s="219"/>
      <c r="H149" s="219"/>
      <c r="I149" s="219"/>
      <c r="J149" s="219"/>
      <c r="K149" s="219"/>
      <c r="L149" s="219"/>
      <c r="O149" s="219"/>
      <c r="Q149" s="219"/>
      <c r="R149" s="219"/>
      <c r="S149" s="219"/>
      <c r="T149" s="219"/>
      <c r="U149" s="219"/>
      <c r="Z149" s="219"/>
      <c r="AA149" s="219"/>
      <c r="AB149" s="219"/>
      <c r="AC149" s="219"/>
      <c r="AD149" s="219"/>
      <c r="AE149" s="219"/>
      <c r="AF149" s="219"/>
      <c r="AG149" s="219"/>
      <c r="AH149" s="219"/>
      <c r="AI149" s="219"/>
    </row>
    <row r="150" spans="1:35" ht="15" customHeight="1">
      <c r="A150" s="219"/>
      <c r="B150" s="219"/>
      <c r="C150" s="219"/>
      <c r="F150" s="219"/>
      <c r="H150" s="219"/>
      <c r="I150" s="219"/>
      <c r="J150" s="219"/>
      <c r="K150" s="219"/>
      <c r="L150" s="219"/>
      <c r="O150" s="219"/>
      <c r="Q150" s="219"/>
      <c r="R150" s="219"/>
      <c r="S150" s="219"/>
      <c r="T150" s="219"/>
      <c r="U150" s="219"/>
      <c r="Z150" s="219"/>
      <c r="AA150" s="219"/>
      <c r="AB150" s="219"/>
      <c r="AC150" s="219"/>
      <c r="AD150" s="219"/>
      <c r="AE150" s="219"/>
      <c r="AF150" s="219"/>
      <c r="AG150" s="219"/>
      <c r="AH150" s="219"/>
      <c r="AI150" s="219"/>
    </row>
    <row r="151" spans="1:35" ht="15" customHeight="1">
      <c r="A151" s="219"/>
      <c r="B151" s="219"/>
      <c r="C151" s="219"/>
      <c r="F151" s="219"/>
      <c r="H151" s="219"/>
      <c r="I151" s="219"/>
      <c r="J151" s="219"/>
      <c r="K151" s="219"/>
      <c r="L151" s="219"/>
      <c r="O151" s="219"/>
      <c r="Q151" s="219"/>
      <c r="R151" s="219"/>
      <c r="S151" s="219"/>
      <c r="T151" s="219"/>
      <c r="U151" s="219"/>
      <c r="Z151" s="219"/>
      <c r="AA151" s="219"/>
      <c r="AB151" s="219"/>
      <c r="AC151" s="219"/>
      <c r="AD151" s="219"/>
      <c r="AE151" s="219"/>
      <c r="AF151" s="219"/>
      <c r="AG151" s="219"/>
      <c r="AH151" s="219"/>
      <c r="AI151" s="219"/>
    </row>
    <row r="152" spans="1:35" ht="15" customHeight="1">
      <c r="A152" s="219"/>
      <c r="B152" s="219"/>
      <c r="C152" s="219"/>
      <c r="F152" s="219"/>
      <c r="H152" s="219"/>
      <c r="I152" s="219"/>
      <c r="J152" s="219"/>
      <c r="K152" s="219"/>
      <c r="L152" s="219"/>
      <c r="O152" s="219"/>
      <c r="Q152" s="219"/>
      <c r="R152" s="219"/>
      <c r="S152" s="219"/>
      <c r="T152" s="219"/>
      <c r="U152" s="219"/>
      <c r="Z152" s="219"/>
      <c r="AA152" s="219"/>
      <c r="AB152" s="219"/>
      <c r="AC152" s="219"/>
      <c r="AD152" s="219"/>
      <c r="AE152" s="219"/>
      <c r="AF152" s="219"/>
      <c r="AG152" s="219"/>
      <c r="AH152" s="219"/>
      <c r="AI152" s="219"/>
    </row>
    <row r="153" spans="1:35" ht="15" customHeight="1">
      <c r="A153" s="219"/>
      <c r="B153" s="219"/>
      <c r="C153" s="219"/>
      <c r="F153" s="219"/>
      <c r="H153" s="219"/>
      <c r="I153" s="219"/>
      <c r="J153" s="219"/>
      <c r="K153" s="219"/>
      <c r="L153" s="219"/>
      <c r="O153" s="219"/>
      <c r="Q153" s="219"/>
      <c r="R153" s="219"/>
      <c r="S153" s="219"/>
      <c r="T153" s="219"/>
      <c r="U153" s="219"/>
      <c r="Z153" s="219"/>
      <c r="AA153" s="219"/>
      <c r="AB153" s="219"/>
      <c r="AC153" s="219"/>
      <c r="AD153" s="219"/>
      <c r="AE153" s="219"/>
      <c r="AF153" s="219"/>
      <c r="AG153" s="219"/>
      <c r="AH153" s="219"/>
      <c r="AI153" s="219"/>
    </row>
    <row r="154" spans="1:35" ht="15" customHeight="1">
      <c r="A154" s="219"/>
      <c r="B154" s="219"/>
      <c r="C154" s="219"/>
      <c r="F154" s="219"/>
      <c r="H154" s="219"/>
      <c r="I154" s="219"/>
      <c r="J154" s="219"/>
      <c r="K154" s="219"/>
      <c r="L154" s="219"/>
      <c r="O154" s="219"/>
      <c r="Q154" s="219"/>
      <c r="R154" s="219"/>
      <c r="S154" s="219"/>
      <c r="T154" s="219"/>
      <c r="U154" s="219"/>
      <c r="Z154" s="219"/>
      <c r="AA154" s="219"/>
      <c r="AB154" s="219"/>
      <c r="AC154" s="219"/>
      <c r="AD154" s="219"/>
      <c r="AE154" s="219"/>
      <c r="AF154" s="219"/>
      <c r="AG154" s="219"/>
      <c r="AH154" s="219"/>
      <c r="AI154" s="219"/>
    </row>
    <row r="155" spans="1:35" ht="15" customHeight="1">
      <c r="A155" s="219"/>
      <c r="B155" s="219"/>
      <c r="C155" s="219"/>
      <c r="F155" s="219"/>
      <c r="H155" s="219"/>
      <c r="I155" s="219"/>
      <c r="J155" s="219"/>
      <c r="K155" s="219"/>
      <c r="L155" s="219"/>
      <c r="O155" s="219"/>
      <c r="Q155" s="219"/>
      <c r="R155" s="219"/>
      <c r="S155" s="219"/>
      <c r="T155" s="219"/>
      <c r="U155" s="219"/>
      <c r="Z155" s="219"/>
      <c r="AA155" s="219"/>
      <c r="AB155" s="219"/>
      <c r="AC155" s="219"/>
      <c r="AD155" s="219"/>
      <c r="AE155" s="219"/>
      <c r="AF155" s="219"/>
      <c r="AG155" s="219"/>
      <c r="AH155" s="219"/>
      <c r="AI155" s="219"/>
    </row>
    <row r="180" spans="46:345" ht="15" customHeight="1">
      <c r="AT180" s="226"/>
      <c r="AU180" s="226"/>
      <c r="AV180" s="226"/>
      <c r="AW180" s="226"/>
      <c r="AX180" s="226"/>
      <c r="AY180" s="226"/>
      <c r="AZ180" s="226"/>
      <c r="BA180" s="232"/>
      <c r="BB180" s="232"/>
      <c r="BC180" s="232"/>
      <c r="BD180" s="232"/>
      <c r="BE180" s="232"/>
      <c r="BF180" s="232"/>
      <c r="BG180" s="232"/>
      <c r="BH180" s="232"/>
      <c r="BI180" s="232"/>
      <c r="BJ180" s="232"/>
      <c r="BK180" s="232"/>
      <c r="BL180" s="232"/>
      <c r="BM180" s="232"/>
      <c r="BN180" s="232"/>
      <c r="BO180" s="232"/>
      <c r="BP180" s="232"/>
      <c r="BQ180" s="232"/>
      <c r="BR180" s="232"/>
      <c r="BS180" s="232"/>
      <c r="BT180" s="232"/>
      <c r="BU180" s="232"/>
      <c r="BV180" s="232"/>
      <c r="BW180" s="232"/>
      <c r="BX180" s="232"/>
      <c r="BY180" s="232"/>
      <c r="BZ180" s="232"/>
      <c r="CA180" s="232"/>
      <c r="CB180" s="232"/>
      <c r="CC180" s="232"/>
      <c r="CD180" s="232"/>
      <c r="CE180" s="232"/>
      <c r="CF180" s="232"/>
      <c r="CG180" s="232"/>
      <c r="CH180" s="232"/>
      <c r="CI180" s="232"/>
      <c r="CJ180" s="232"/>
      <c r="CK180" s="232"/>
      <c r="CL180" s="232"/>
      <c r="CM180" s="232"/>
      <c r="CN180" s="232"/>
      <c r="CO180" s="232"/>
      <c r="CP180" s="232"/>
      <c r="CQ180" s="232"/>
      <c r="CR180" s="232"/>
      <c r="CS180" s="232"/>
      <c r="CT180" s="232"/>
      <c r="CU180" s="232"/>
      <c r="CV180" s="232"/>
      <c r="CW180" s="232"/>
      <c r="CX180" s="232"/>
      <c r="CY180" s="232"/>
      <c r="CZ180" s="232"/>
      <c r="DA180" s="232"/>
      <c r="DB180" s="232"/>
      <c r="DC180" s="232"/>
      <c r="DD180" s="232"/>
      <c r="DE180" s="232"/>
      <c r="DF180" s="232"/>
      <c r="DG180" s="232"/>
      <c r="DH180" s="232"/>
      <c r="DI180" s="232"/>
      <c r="DJ180" s="232"/>
      <c r="DK180" s="232"/>
      <c r="DL180" s="232"/>
      <c r="DM180" s="232"/>
      <c r="DN180" s="232"/>
      <c r="DO180" s="232"/>
      <c r="DP180" s="232"/>
      <c r="DQ180" s="232"/>
      <c r="DR180" s="232"/>
      <c r="DS180" s="232"/>
      <c r="DT180" s="232"/>
      <c r="DU180" s="232"/>
      <c r="DV180" s="232"/>
      <c r="DW180" s="232"/>
      <c r="DX180" s="232"/>
      <c r="DY180" s="232"/>
      <c r="DZ180" s="232"/>
      <c r="EA180" s="232"/>
      <c r="EB180" s="232"/>
      <c r="EC180" s="232"/>
      <c r="ED180" s="232"/>
      <c r="EE180" s="232"/>
      <c r="EF180" s="232"/>
      <c r="EG180" s="232"/>
      <c r="EH180" s="232"/>
      <c r="EI180" s="232"/>
      <c r="EJ180" s="232"/>
      <c r="EK180" s="232"/>
      <c r="EL180" s="232"/>
      <c r="EM180" s="232"/>
      <c r="EN180" s="232"/>
      <c r="EO180" s="232"/>
      <c r="EP180" s="232"/>
      <c r="EQ180" s="232"/>
      <c r="ER180" s="232"/>
      <c r="ES180" s="232"/>
      <c r="ET180" s="232"/>
      <c r="EU180" s="232"/>
      <c r="EV180" s="232"/>
      <c r="EW180" s="232"/>
      <c r="EX180" s="232"/>
      <c r="EY180" s="232"/>
      <c r="EZ180" s="232"/>
      <c r="FA180" s="232"/>
      <c r="FB180" s="232"/>
      <c r="FC180" s="232"/>
      <c r="FD180" s="232"/>
      <c r="FE180" s="232"/>
      <c r="FF180" s="232"/>
      <c r="FG180" s="232"/>
      <c r="FH180" s="232"/>
      <c r="FI180" s="232"/>
      <c r="FJ180" s="232"/>
      <c r="FK180" s="232"/>
      <c r="FL180" s="232"/>
      <c r="FM180" s="232"/>
      <c r="FN180" s="232"/>
      <c r="FO180" s="232"/>
      <c r="FP180" s="232"/>
      <c r="FQ180" s="232"/>
      <c r="FR180" s="232"/>
      <c r="FS180" s="232"/>
      <c r="FT180" s="232"/>
      <c r="FU180" s="232"/>
      <c r="FV180" s="232"/>
      <c r="FW180" s="232"/>
      <c r="FX180" s="232"/>
      <c r="FY180" s="232"/>
      <c r="FZ180" s="232"/>
      <c r="GA180" s="232"/>
      <c r="GB180" s="232"/>
      <c r="GC180" s="232"/>
      <c r="GD180" s="232"/>
      <c r="GE180" s="232"/>
      <c r="GF180" s="232"/>
      <c r="GG180" s="232"/>
      <c r="GH180" s="232"/>
      <c r="GI180" s="232"/>
      <c r="GJ180" s="232"/>
      <c r="GK180" s="232"/>
      <c r="GL180" s="232"/>
      <c r="GM180" s="232"/>
      <c r="GN180" s="232"/>
      <c r="GO180" s="232"/>
      <c r="GP180" s="232"/>
      <c r="GQ180" s="232"/>
      <c r="GR180" s="232"/>
      <c r="GS180" s="232"/>
      <c r="GT180" s="232"/>
      <c r="GU180" s="232"/>
      <c r="GV180" s="232"/>
      <c r="GW180" s="232"/>
      <c r="GX180" s="232"/>
      <c r="GY180" s="232"/>
      <c r="GZ180" s="232"/>
      <c r="HA180" s="232"/>
      <c r="HB180" s="232"/>
      <c r="HC180" s="232"/>
      <c r="HD180" s="232"/>
      <c r="HE180" s="232"/>
      <c r="HF180" s="232"/>
      <c r="HG180" s="232"/>
      <c r="HH180" s="232"/>
      <c r="HI180" s="232"/>
      <c r="HJ180" s="232"/>
      <c r="HK180" s="232"/>
      <c r="HL180" s="232"/>
      <c r="HM180" s="232"/>
      <c r="HN180" s="232"/>
      <c r="HO180" s="232"/>
      <c r="HP180" s="232"/>
      <c r="HQ180" s="232"/>
      <c r="HR180" s="232"/>
      <c r="HS180" s="232"/>
      <c r="HT180" s="232"/>
      <c r="HU180" s="232"/>
      <c r="HV180" s="232"/>
      <c r="HW180" s="232"/>
      <c r="HX180" s="232"/>
      <c r="HY180" s="232"/>
      <c r="HZ180" s="232"/>
      <c r="IA180" s="232"/>
      <c r="IB180" s="232"/>
      <c r="IC180" s="232"/>
      <c r="ID180" s="232"/>
      <c r="IE180" s="232"/>
      <c r="IF180" s="232"/>
      <c r="IG180" s="232"/>
      <c r="IH180" s="232"/>
      <c r="II180" s="232"/>
      <c r="IJ180" s="232"/>
      <c r="IK180" s="232"/>
      <c r="IL180" s="232"/>
      <c r="IM180" s="232"/>
      <c r="IN180" s="232"/>
      <c r="IO180" s="232"/>
      <c r="IP180" s="232"/>
      <c r="IQ180" s="232"/>
      <c r="IR180" s="232"/>
      <c r="IS180" s="232"/>
      <c r="IT180" s="232"/>
      <c r="IU180" s="232"/>
      <c r="IV180" s="232"/>
      <c r="IW180" s="232"/>
      <c r="IX180" s="232"/>
      <c r="IY180" s="232"/>
      <c r="IZ180" s="232"/>
      <c r="JA180" s="232"/>
      <c r="JB180" s="232"/>
      <c r="JC180" s="232"/>
      <c r="JD180" s="232"/>
      <c r="JE180" s="232"/>
      <c r="JF180" s="232"/>
      <c r="JG180" s="232"/>
      <c r="JH180" s="232"/>
      <c r="JI180" s="232"/>
      <c r="JJ180" s="232"/>
      <c r="JK180" s="232"/>
      <c r="JL180" s="232"/>
      <c r="JM180" s="232"/>
      <c r="JN180" s="232"/>
      <c r="JO180" s="232"/>
      <c r="JP180" s="232"/>
      <c r="JQ180" s="232"/>
      <c r="JR180" s="232"/>
      <c r="JS180" s="232"/>
      <c r="JT180" s="232"/>
      <c r="JU180" s="232"/>
      <c r="JV180" s="232"/>
      <c r="JW180" s="232"/>
      <c r="JX180" s="232"/>
      <c r="JY180" s="232"/>
      <c r="JZ180" s="232"/>
      <c r="KA180" s="232"/>
      <c r="KB180" s="232"/>
      <c r="KC180" s="232"/>
      <c r="KD180" s="232"/>
      <c r="KE180" s="232"/>
      <c r="KF180" s="232"/>
      <c r="KG180" s="232"/>
      <c r="KH180" s="232"/>
      <c r="KI180" s="232"/>
      <c r="KJ180" s="232"/>
      <c r="KK180" s="232"/>
      <c r="KL180" s="232"/>
      <c r="KM180" s="232"/>
      <c r="KN180" s="232"/>
      <c r="KO180" s="232"/>
      <c r="KP180" s="232"/>
      <c r="KQ180" s="232"/>
      <c r="KR180" s="232"/>
      <c r="KS180" s="232"/>
      <c r="KT180" s="232"/>
      <c r="KU180" s="232"/>
      <c r="KV180" s="232"/>
      <c r="KW180" s="232"/>
      <c r="KX180" s="232"/>
      <c r="KY180" s="232"/>
      <c r="KZ180" s="232"/>
      <c r="LA180" s="232"/>
      <c r="LB180" s="232"/>
      <c r="LC180" s="232"/>
      <c r="LD180" s="232"/>
      <c r="LE180" s="232"/>
      <c r="LF180" s="232"/>
      <c r="LG180" s="232"/>
      <c r="LH180" s="232"/>
      <c r="LI180" s="232"/>
      <c r="LJ180" s="232"/>
      <c r="LK180" s="232"/>
      <c r="LL180" s="232"/>
      <c r="LM180" s="232"/>
      <c r="LN180" s="232"/>
      <c r="LP180" s="232"/>
      <c r="LQ180" s="232"/>
      <c r="LR180" s="232"/>
      <c r="LS180" s="232"/>
      <c r="LT180" s="232"/>
      <c r="LU180" s="232"/>
      <c r="LV180" s="232"/>
      <c r="LW180" s="232"/>
      <c r="LX180" s="232"/>
      <c r="LY180" s="232"/>
      <c r="LZ180" s="232"/>
      <c r="MA180" s="232"/>
      <c r="MB180" s="232"/>
      <c r="MC180" s="232"/>
      <c r="MD180" s="232"/>
      <c r="ME180" s="232"/>
      <c r="MF180" s="232"/>
      <c r="MG180" s="232"/>
    </row>
    <row r="268" spans="46:345" ht="15" customHeight="1">
      <c r="AT268" s="226"/>
      <c r="AU268" s="226"/>
      <c r="AV268" s="226"/>
      <c r="AW268" s="226"/>
      <c r="AX268" s="226"/>
      <c r="AY268" s="226"/>
      <c r="AZ268" s="226"/>
      <c r="BA268" s="232"/>
      <c r="BB268" s="232"/>
      <c r="BC268" s="232"/>
      <c r="BD268" s="232"/>
      <c r="BE268" s="232"/>
      <c r="BF268" s="232"/>
      <c r="BG268" s="232"/>
      <c r="BH268" s="232"/>
      <c r="BI268" s="232"/>
      <c r="BJ268" s="232"/>
      <c r="BK268" s="232"/>
      <c r="BL268" s="232"/>
      <c r="BM268" s="232"/>
      <c r="BN268" s="232"/>
      <c r="BO268" s="232"/>
      <c r="BP268" s="232"/>
      <c r="BQ268" s="232"/>
      <c r="BR268" s="232"/>
      <c r="BS268" s="232"/>
      <c r="BT268" s="232"/>
      <c r="BU268" s="232"/>
      <c r="BV268" s="232"/>
      <c r="BW268" s="232"/>
      <c r="BX268" s="232"/>
      <c r="BY268" s="232"/>
      <c r="BZ268" s="232"/>
      <c r="CA268" s="232"/>
      <c r="CB268" s="232"/>
      <c r="CC268" s="232"/>
      <c r="CD268" s="232"/>
      <c r="CE268" s="232"/>
      <c r="CF268" s="232"/>
      <c r="CG268" s="232"/>
      <c r="CH268" s="232"/>
      <c r="CI268" s="232"/>
      <c r="CJ268" s="232"/>
      <c r="CK268" s="232"/>
      <c r="CL268" s="232"/>
      <c r="CM268" s="232"/>
      <c r="CN268" s="232"/>
      <c r="CO268" s="232"/>
      <c r="CP268" s="232"/>
      <c r="CQ268" s="232"/>
      <c r="CR268" s="232"/>
      <c r="CS268" s="232"/>
      <c r="CT268" s="232"/>
      <c r="CU268" s="232"/>
      <c r="CV268" s="232"/>
      <c r="CW268" s="232"/>
      <c r="CX268" s="232"/>
      <c r="CY268" s="232"/>
      <c r="CZ268" s="232"/>
      <c r="DA268" s="232"/>
      <c r="DB268" s="232"/>
      <c r="DC268" s="232"/>
      <c r="DD268" s="232"/>
      <c r="DE268" s="232"/>
      <c r="DF268" s="232"/>
      <c r="DG268" s="232"/>
      <c r="DH268" s="232"/>
      <c r="DI268" s="232"/>
      <c r="DJ268" s="232"/>
      <c r="DK268" s="232"/>
      <c r="DL268" s="232"/>
      <c r="DM268" s="232"/>
      <c r="DN268" s="232"/>
      <c r="DO268" s="232"/>
      <c r="DP268" s="232"/>
      <c r="DQ268" s="232"/>
      <c r="DR268" s="232"/>
      <c r="DS268" s="232"/>
      <c r="DT268" s="232"/>
      <c r="DU268" s="232"/>
      <c r="DV268" s="232"/>
      <c r="DW268" s="232"/>
      <c r="DX268" s="232"/>
      <c r="DY268" s="232"/>
      <c r="DZ268" s="232"/>
      <c r="EA268" s="232"/>
      <c r="EB268" s="232"/>
      <c r="EC268" s="232"/>
      <c r="ED268" s="232"/>
      <c r="EE268" s="232"/>
      <c r="EF268" s="232"/>
      <c r="EG268" s="232"/>
      <c r="EH268" s="232"/>
      <c r="EI268" s="232"/>
      <c r="EJ268" s="232"/>
      <c r="EK268" s="232"/>
      <c r="EL268" s="232"/>
      <c r="EM268" s="232"/>
      <c r="EN268" s="232"/>
      <c r="EO268" s="232"/>
      <c r="EP268" s="232"/>
      <c r="EQ268" s="232"/>
      <c r="ER268" s="232"/>
      <c r="ES268" s="232"/>
      <c r="ET268" s="232"/>
      <c r="EU268" s="232"/>
      <c r="EV268" s="232"/>
      <c r="EW268" s="232"/>
      <c r="EX268" s="232"/>
      <c r="EY268" s="232"/>
      <c r="EZ268" s="232"/>
      <c r="FA268" s="232"/>
      <c r="FB268" s="232"/>
      <c r="FC268" s="232"/>
      <c r="FD268" s="232"/>
      <c r="FE268" s="232"/>
      <c r="FF268" s="232"/>
      <c r="FG268" s="232"/>
      <c r="FH268" s="232"/>
      <c r="FI268" s="232"/>
      <c r="FJ268" s="232"/>
      <c r="FK268" s="232"/>
      <c r="FL268" s="232"/>
      <c r="FM268" s="232"/>
      <c r="FN268" s="232"/>
      <c r="FO268" s="232"/>
      <c r="FP268" s="232"/>
      <c r="FQ268" s="232"/>
      <c r="FR268" s="232"/>
      <c r="FS268" s="232"/>
      <c r="FT268" s="232"/>
      <c r="FU268" s="232"/>
      <c r="FV268" s="232"/>
      <c r="FW268" s="232"/>
      <c r="FX268" s="232"/>
      <c r="FY268" s="232"/>
      <c r="FZ268" s="232"/>
      <c r="GA268" s="232"/>
      <c r="GB268" s="232"/>
      <c r="GC268" s="232"/>
      <c r="GD268" s="232"/>
      <c r="GE268" s="232"/>
      <c r="GF268" s="232"/>
      <c r="GG268" s="232"/>
      <c r="GH268" s="232"/>
      <c r="GI268" s="232"/>
      <c r="GJ268" s="232"/>
      <c r="GK268" s="232"/>
      <c r="GL268" s="232"/>
      <c r="GM268" s="232"/>
      <c r="GN268" s="232"/>
      <c r="GO268" s="232"/>
      <c r="GP268" s="232"/>
      <c r="GQ268" s="232"/>
      <c r="GR268" s="232"/>
      <c r="GS268" s="232"/>
      <c r="GT268" s="232"/>
      <c r="GU268" s="232"/>
      <c r="GV268" s="232"/>
      <c r="GW268" s="232"/>
      <c r="GX268" s="232"/>
      <c r="GY268" s="232"/>
      <c r="GZ268" s="232"/>
      <c r="HA268" s="232"/>
      <c r="HB268" s="232"/>
      <c r="HC268" s="232"/>
      <c r="HD268" s="232"/>
      <c r="HE268" s="232"/>
      <c r="HF268" s="232"/>
      <c r="HG268" s="232"/>
      <c r="HH268" s="232"/>
      <c r="HI268" s="232"/>
      <c r="HJ268" s="232"/>
      <c r="HK268" s="232"/>
      <c r="HL268" s="232"/>
      <c r="HM268" s="232"/>
      <c r="HN268" s="232"/>
      <c r="HO268" s="232"/>
      <c r="HP268" s="232"/>
      <c r="HQ268" s="232"/>
      <c r="HR268" s="232"/>
      <c r="HS268" s="232"/>
      <c r="HT268" s="232"/>
      <c r="HU268" s="232"/>
      <c r="HV268" s="232"/>
      <c r="HW268" s="232"/>
      <c r="HX268" s="232"/>
      <c r="HY268" s="232"/>
      <c r="HZ268" s="232"/>
      <c r="IA268" s="232"/>
      <c r="IB268" s="232"/>
      <c r="IC268" s="232"/>
      <c r="ID268" s="232"/>
      <c r="IE268" s="232"/>
      <c r="IF268" s="232"/>
      <c r="IG268" s="232"/>
      <c r="IH268" s="232"/>
      <c r="II268" s="232"/>
      <c r="IJ268" s="232"/>
      <c r="IK268" s="232"/>
      <c r="IL268" s="232"/>
      <c r="IM268" s="232"/>
      <c r="IN268" s="232"/>
      <c r="IO268" s="232"/>
      <c r="IP268" s="232"/>
      <c r="IQ268" s="232"/>
      <c r="IR268" s="232"/>
      <c r="IS268" s="232"/>
      <c r="IT268" s="232"/>
      <c r="IU268" s="232"/>
      <c r="IV268" s="232"/>
      <c r="IW268" s="232"/>
      <c r="IX268" s="232"/>
      <c r="IY268" s="232"/>
      <c r="IZ268" s="232"/>
      <c r="JA268" s="232"/>
      <c r="JB268" s="232"/>
      <c r="JC268" s="232"/>
      <c r="JD268" s="232"/>
      <c r="JE268" s="232"/>
      <c r="JF268" s="232"/>
      <c r="JG268" s="232"/>
      <c r="JH268" s="232"/>
      <c r="JI268" s="232"/>
      <c r="JJ268" s="232"/>
      <c r="JK268" s="232"/>
      <c r="JL268" s="232"/>
      <c r="JM268" s="232"/>
      <c r="JN268" s="232"/>
      <c r="JO268" s="232"/>
      <c r="JP268" s="232"/>
      <c r="JQ268" s="232"/>
      <c r="JR268" s="232"/>
      <c r="JS268" s="232"/>
      <c r="JT268" s="232"/>
      <c r="JU268" s="232"/>
      <c r="JV268" s="232"/>
      <c r="JW268" s="232"/>
      <c r="JX268" s="232"/>
      <c r="JY268" s="232"/>
      <c r="JZ268" s="232"/>
      <c r="KA268" s="232"/>
      <c r="KB268" s="232"/>
      <c r="KC268" s="232"/>
      <c r="KD268" s="232"/>
      <c r="KE268" s="232"/>
      <c r="KF268" s="232"/>
      <c r="KG268" s="232"/>
      <c r="KH268" s="232"/>
      <c r="KI268" s="232"/>
      <c r="KJ268" s="232"/>
      <c r="KK268" s="232"/>
      <c r="KL268" s="232"/>
      <c r="KM268" s="232"/>
      <c r="KN268" s="232"/>
      <c r="KO268" s="232"/>
      <c r="KP268" s="232"/>
      <c r="KQ268" s="232"/>
      <c r="KR268" s="232"/>
      <c r="KS268" s="232"/>
      <c r="KT268" s="232"/>
      <c r="KU268" s="232"/>
      <c r="KV268" s="232"/>
      <c r="KW268" s="232"/>
      <c r="KX268" s="232"/>
      <c r="KY268" s="232"/>
      <c r="KZ268" s="232"/>
      <c r="LA268" s="232"/>
      <c r="LB268" s="232"/>
      <c r="LC268" s="232"/>
      <c r="LD268" s="232"/>
      <c r="LE268" s="232"/>
      <c r="LF268" s="232"/>
      <c r="LG268" s="232"/>
      <c r="LH268" s="232"/>
      <c r="LI268" s="232"/>
      <c r="LJ268" s="232"/>
      <c r="LK268" s="232"/>
      <c r="LL268" s="232"/>
      <c r="LM268" s="232"/>
      <c r="LN268" s="232"/>
      <c r="LP268" s="232"/>
      <c r="LQ268" s="232"/>
      <c r="LR268" s="232"/>
      <c r="LS268" s="232"/>
      <c r="LT268" s="232"/>
      <c r="LU268" s="232"/>
      <c r="LV268" s="232"/>
      <c r="LW268" s="232"/>
      <c r="LX268" s="232"/>
      <c r="LY268" s="232"/>
      <c r="LZ268" s="232"/>
      <c r="MA268" s="232"/>
      <c r="MB268" s="232"/>
      <c r="MC268" s="232"/>
      <c r="MD268" s="232"/>
      <c r="ME268" s="232"/>
      <c r="MF268" s="232"/>
      <c r="MG268" s="232"/>
    </row>
  </sheetData>
  <sheetProtection algorithmName="SHA-512" hashValue="qln8nYk0QayO8I4Xcer112+3cxeC2SUel4PZcZ1rIYhP6Lxrx8zH2MTpsdtW9Io88GPGQgx7YieyOchQjot6/Q==" saltValue="ek6R85EmLQYKP2i5ruJxcw==" spinCount="100000" sheet="1" insertRows="0" autoFilter="0"/>
  <mergeCells count="85">
    <mergeCell ref="AO36:AP36"/>
    <mergeCell ref="AO22:AP22"/>
    <mergeCell ref="AO33:AP33"/>
    <mergeCell ref="AO17:AP17"/>
    <mergeCell ref="AO18:AP18"/>
    <mergeCell ref="AO9:AP9"/>
    <mergeCell ref="AO10:AP10"/>
    <mergeCell ref="AO11:AP11"/>
    <mergeCell ref="AN48:AN49"/>
    <mergeCell ref="AO48:AO49"/>
    <mergeCell ref="AP48:AP49"/>
    <mergeCell ref="AP43:AP45"/>
    <mergeCell ref="AO38:AP38"/>
    <mergeCell ref="AO28:AP28"/>
    <mergeCell ref="AO29:AP29"/>
    <mergeCell ref="AO30:AP30"/>
    <mergeCell ref="AO14:AP14"/>
    <mergeCell ref="AO37:AP37"/>
    <mergeCell ref="AO24:AP24"/>
    <mergeCell ref="AO25:AP25"/>
    <mergeCell ref="AO21:AP21"/>
    <mergeCell ref="AD8:AI8"/>
    <mergeCell ref="AD7:AI7"/>
    <mergeCell ref="AB7:AC7"/>
    <mergeCell ref="AB8:AC8"/>
    <mergeCell ref="AD13:AI13"/>
    <mergeCell ref="AD9:AI9"/>
    <mergeCell ref="AB11:AC11"/>
    <mergeCell ref="AB10:AC10"/>
    <mergeCell ref="AD10:AI10"/>
    <mergeCell ref="AD11:AI11"/>
    <mergeCell ref="AB9:AC9"/>
    <mergeCell ref="AB12:AC12"/>
    <mergeCell ref="AD12:AI12"/>
    <mergeCell ref="AB13:AC13"/>
    <mergeCell ref="AO16:AP16"/>
    <mergeCell ref="AO12:AP12"/>
    <mergeCell ref="AO13:AP13"/>
    <mergeCell ref="AO31:AP31"/>
    <mergeCell ref="AO32:AP32"/>
    <mergeCell ref="AO19:AP19"/>
    <mergeCell ref="AO20:AP20"/>
    <mergeCell ref="AO23:AP23"/>
    <mergeCell ref="AD4:AI4"/>
    <mergeCell ref="AB4:AC4"/>
    <mergeCell ref="AD5:AI5"/>
    <mergeCell ref="AB6:AC6"/>
    <mergeCell ref="AD6:AI6"/>
    <mergeCell ref="AB5:AC5"/>
    <mergeCell ref="AO4:AP4"/>
    <mergeCell ref="AO5:AP5"/>
    <mergeCell ref="AO6:AP6"/>
    <mergeCell ref="AO7:AP7"/>
    <mergeCell ref="AO8:AP8"/>
    <mergeCell ref="AO66:AP66"/>
    <mergeCell ref="AO58:AP58"/>
    <mergeCell ref="AO59:AP59"/>
    <mergeCell ref="AO60:AP60"/>
    <mergeCell ref="AO61:AP61"/>
    <mergeCell ref="AO62:AP62"/>
    <mergeCell ref="AO74:AP74"/>
    <mergeCell ref="AO75:AP75"/>
    <mergeCell ref="AO67:AP67"/>
    <mergeCell ref="AO68:AP68"/>
    <mergeCell ref="AO69:AP69"/>
    <mergeCell ref="AO70:AP70"/>
    <mergeCell ref="AO71:AP71"/>
    <mergeCell ref="AO72:AP72"/>
    <mergeCell ref="AO73:AP73"/>
    <mergeCell ref="AB14:AC14"/>
    <mergeCell ref="AO64:AP64"/>
    <mergeCell ref="AO65:AP65"/>
    <mergeCell ref="AO63:AP63"/>
    <mergeCell ref="AB17:AD17"/>
    <mergeCell ref="AO26:AP26"/>
    <mergeCell ref="AO56:AP56"/>
    <mergeCell ref="AO57:AP57"/>
    <mergeCell ref="AO52:AP52"/>
    <mergeCell ref="AO51:AP51"/>
    <mergeCell ref="AO53:AP53"/>
    <mergeCell ref="AO54:AP54"/>
    <mergeCell ref="AO55:AP55"/>
    <mergeCell ref="AB15:AC15"/>
    <mergeCell ref="AO34:AP34"/>
    <mergeCell ref="AO35:AP35"/>
  </mergeCells>
  <pageMargins left="0.70866141732283472" right="0.70866141732283472" top="0.74803149606299213" bottom="0.74803149606299213" header="0.31496062992125984" footer="0.31496062992125984"/>
  <pageSetup paperSize="9" scale="38" orientation="portrait" r:id="rId1"/>
  <drawing r:id="rId2"/>
  <extLst>
    <ext xmlns:x14="http://schemas.microsoft.com/office/spreadsheetml/2009/9/main" uri="{CCE6A557-97BC-4b89-ADB6-D9C93CAAB3DF}">
      <x14:dataValidations xmlns:xm="http://schemas.microsoft.com/office/excel/2006/main" count="9">
        <x14:dataValidation type="list" showInputMessage="1" showErrorMessage="1" xr:uid="{4C12CD79-E5A5-4D6C-B4F4-EEEE95A11258}">
          <x14:formula1>
            <xm:f>'GullyGrip Blocking Data'!$B$4:$B$13</xm:f>
          </x14:formula1>
          <xm:sqref>A5:A14</xm:sqref>
        </x14:dataValidation>
        <x14:dataValidation type="list" allowBlank="1" showInputMessage="1" showErrorMessage="1" xr:uid="{A3E7ED3C-7BB4-41EF-AE3B-97FA6F66BBCD}">
          <x14:formula1>
            <xm:f>'Bunding Data'!$B$4:$B$13</xm:f>
          </x14:formula1>
          <xm:sqref>J5:J14</xm:sqref>
        </x14:dataValidation>
        <x14:dataValidation type="list" allowBlank="1" showInputMessage="1" showErrorMessage="1" xr:uid="{AA882FAA-CE36-4D3C-95E8-55E80D781F2D}">
          <x14:formula1>
            <xm:f>'Revegetation Data'!$B$4:$B$20</xm:f>
          </x14:formula1>
          <xm:sqref>S5:S14</xm:sqref>
        </x14:dataValidation>
        <x14:dataValidation type="list" allowBlank="1" showInputMessage="1" showErrorMessage="1" xr:uid="{8C55BB73-4D6D-4745-9836-8250FB4828F7}">
          <x14:formula1>
            <xm:f>OFFSET('GullyGrip Blocking Data'!$B$20,1,MATCH($A5,'GullyGrip Blocking Data'!$B$20:$K$20,0)-1,COUNTA(OFFSET('GullyGrip Blocking Data'!$B$20,1,MATCH($A5,'GullyGrip Blocking Data'!$B$20:$K$20,0)-1,9)),1)</xm:f>
          </x14:formula1>
          <xm:sqref>B5:B14</xm:sqref>
        </x14:dataValidation>
        <x14:dataValidation type="list" allowBlank="1" showInputMessage="1" showErrorMessage="1" xr:uid="{B6582156-84DF-4ADF-933F-65EACBDA99E8}">
          <x14:formula1>
            <xm:f>OFFSET('GullyGrip Blocking Data'!$B$134,1,MATCH($A5,'GullyGrip Blocking Data'!$B$134:$K$134,0)-1,COUNTA(OFFSET('GullyGrip Blocking Data'!$B$134,1,MATCH($A5,'GullyGrip Blocking Data'!$B$134:$K$134,0)-1,7)),1)</xm:f>
          </x14:formula1>
          <xm:sqref>H5:H14</xm:sqref>
        </x14:dataValidation>
        <x14:dataValidation type="list" allowBlank="1" showInputMessage="1" showErrorMessage="1" xr:uid="{E3BA220D-35B5-496C-AC17-9414A480F764}">
          <x14:formula1>
            <xm:f>OFFSET('Bunding Data'!$B$20,1,MATCH($J5,'Bunding Data'!$B$20:$K$20,0)-1,COUNTA(OFFSET('Bunding Data'!$B$20,1,MATCH($J5,'Bunding Data'!$B$20:$K$20,0)-1,9)),1)</xm:f>
          </x14:formula1>
          <xm:sqref>K5:K14</xm:sqref>
        </x14:dataValidation>
        <x14:dataValidation type="list" allowBlank="1" showInputMessage="1" showErrorMessage="1" xr:uid="{FC3BCA60-301B-469E-A4C3-2894876B0850}">
          <x14:formula1>
            <xm:f>OFFSET('Bunding Data'!$B$160,1,MATCH($J5,'Bunding Data'!$B$160:$K$160,0)-1,COUNTA(OFFSET('Bunding Data'!$B$160,1,MATCH($J5,'Bunding Data'!$B$160:$K$160,0)-1,7)),1)</xm:f>
          </x14:formula1>
          <xm:sqref>Q5:Q14</xm:sqref>
        </x14:dataValidation>
        <x14:dataValidation type="list" allowBlank="1" showInputMessage="1" showErrorMessage="1" xr:uid="{AC66B4B1-CC55-44BE-BBCC-36A2A3E1CD32}">
          <x14:formula1>
            <xm:f>(OFFSET('Revegetation Data'!$B$27,1,MATCH($S5,'Revegetation Data'!$B$27:$R$27,0)-1,1,1))</xm:f>
          </x14:formula1>
          <xm:sqref>T5:T14</xm:sqref>
        </x14:dataValidation>
        <x14:dataValidation type="list" allowBlank="1" showInputMessage="1" showErrorMessage="1" xr:uid="{953C43B5-EC88-4DA9-97AD-CA4A706D51B4}">
          <x14:formula1>
            <xm:f>OFFSET('Revegetation Data'!$B$82,1,MATCH($S5,'Revegetation Data'!$B$82:$R$82,0)-1,COUNTA(OFFSET('Revegetation Data'!$B$82,1,MATCH($S5,'Revegetation Data'!$B$82:$R$82,0)-1,7)),1)</xm:f>
          </x14:formula1>
          <xm:sqref>Z5:Z14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05B1-B5F9-476D-8EA6-F9334914A9C4}">
  <dimension ref="A1:BF151"/>
  <sheetViews>
    <sheetView zoomScale="90" zoomScaleNormal="90" workbookViewId="0">
      <selection activeCell="O11" sqref="O11"/>
    </sheetView>
  </sheetViews>
  <sheetFormatPr defaultRowHeight="14.25" customHeight="1"/>
  <cols>
    <col min="1" max="1" width="9.140625" style="56"/>
    <col min="2" max="8" width="20.7109375" style="56" customWidth="1"/>
    <col min="9" max="9" width="9.140625" style="56"/>
    <col min="10" max="10" width="11.85546875" style="56" customWidth="1"/>
    <col min="11" max="11" width="17.28515625" style="56" bestFit="1" customWidth="1"/>
    <col min="12" max="12" width="16.28515625" style="56" bestFit="1" customWidth="1"/>
    <col min="13" max="13" width="14.28515625" style="56" customWidth="1"/>
    <col min="14" max="14" width="14.140625" style="56" customWidth="1"/>
    <col min="15" max="15" width="18" style="56" customWidth="1"/>
    <col min="16" max="16" width="9.140625" style="56"/>
    <col min="17" max="19" width="44" customWidth="1"/>
    <col min="20" max="20" width="10.7109375" customWidth="1"/>
  </cols>
  <sheetData>
    <row r="1" spans="1:52" ht="14.25" customHeight="1">
      <c r="A1" s="245" t="s">
        <v>156</v>
      </c>
      <c r="B1" s="183"/>
      <c r="C1" s="183"/>
      <c r="D1" s="183"/>
      <c r="E1" s="183"/>
      <c r="F1" s="183"/>
      <c r="G1" s="183"/>
      <c r="H1" s="183"/>
      <c r="I1" s="183"/>
      <c r="J1" s="183"/>
      <c r="K1" s="183"/>
      <c r="L1" s="183"/>
      <c r="M1" s="183"/>
      <c r="N1" s="183"/>
      <c r="O1" s="183"/>
      <c r="P1" s="183"/>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row>
    <row r="2" spans="1:52" ht="14.25" customHeight="1">
      <c r="A2" s="189"/>
      <c r="B2" s="189"/>
      <c r="C2" s="189"/>
      <c r="D2" s="189"/>
      <c r="E2" s="189"/>
      <c r="F2" s="189"/>
      <c r="G2" s="189"/>
      <c r="H2" s="189"/>
      <c r="I2" s="189"/>
      <c r="J2" s="189"/>
      <c r="K2" s="189"/>
      <c r="L2" s="189"/>
      <c r="M2" s="189"/>
      <c r="N2" s="189"/>
      <c r="O2" s="189"/>
      <c r="P2" s="189"/>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row>
    <row r="3" spans="1:52" ht="14.25" customHeight="1" thickBot="1">
      <c r="A3" s="129" t="s">
        <v>157</v>
      </c>
      <c r="B3" s="192"/>
      <c r="C3" s="192"/>
      <c r="D3" s="192"/>
      <c r="E3" s="192"/>
      <c r="F3" s="192"/>
      <c r="G3" s="192"/>
      <c r="H3" s="192"/>
      <c r="I3" s="192"/>
      <c r="J3" s="129" t="s">
        <v>158</v>
      </c>
      <c r="K3" s="189"/>
      <c r="L3" s="189"/>
      <c r="M3" s="189"/>
      <c r="N3" s="189"/>
      <c r="O3" s="189"/>
      <c r="P3" s="192"/>
      <c r="Q3" s="129" t="s">
        <v>159</v>
      </c>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row>
    <row r="4" spans="1:52" ht="30" customHeight="1">
      <c r="A4" s="329" t="s">
        <v>69</v>
      </c>
      <c r="B4" s="329" t="s">
        <v>160</v>
      </c>
      <c r="C4" s="329" t="s">
        <v>161</v>
      </c>
      <c r="D4" s="329" t="s">
        <v>162</v>
      </c>
      <c r="E4" s="329" t="s">
        <v>163</v>
      </c>
      <c r="F4" s="329" t="s">
        <v>164</v>
      </c>
      <c r="G4" s="329" t="s">
        <v>165</v>
      </c>
      <c r="H4" s="329" t="s">
        <v>166</v>
      </c>
      <c r="I4" s="189"/>
      <c r="J4" s="326" t="s">
        <v>167</v>
      </c>
      <c r="K4" s="328" t="s">
        <v>168</v>
      </c>
      <c r="L4" s="328" t="s">
        <v>169</v>
      </c>
      <c r="M4" s="328" t="s">
        <v>170</v>
      </c>
      <c r="N4" s="328" t="s">
        <v>171</v>
      </c>
      <c r="O4" s="322" t="s">
        <v>172</v>
      </c>
      <c r="P4" s="189"/>
      <c r="Q4" s="326" t="s">
        <v>173</v>
      </c>
      <c r="R4" s="328" t="s">
        <v>174</v>
      </c>
      <c r="S4" s="322" t="s">
        <v>175</v>
      </c>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row>
    <row r="5" spans="1:52" ht="30" customHeight="1">
      <c r="A5" s="329"/>
      <c r="B5" s="329"/>
      <c r="C5" s="329"/>
      <c r="D5" s="329"/>
      <c r="E5" s="329"/>
      <c r="F5" s="329"/>
      <c r="G5" s="329"/>
      <c r="H5" s="329"/>
      <c r="I5" s="199"/>
      <c r="J5" s="327"/>
      <c r="K5" s="329"/>
      <c r="L5" s="329"/>
      <c r="M5" s="329"/>
      <c r="N5" s="329"/>
      <c r="O5" s="323"/>
      <c r="P5" s="199"/>
      <c r="Q5" s="327"/>
      <c r="R5" s="329"/>
      <c r="S5" s="323"/>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row>
    <row r="6" spans="1:52" ht="15" customHeight="1">
      <c r="A6" s="246" t="s">
        <v>89</v>
      </c>
      <c r="B6" s="247">
        <f>SUM(' Emissions Calculator'!V7:AE7)</f>
        <v>1401.5255</v>
      </c>
      <c r="C6" s="247">
        <f>($R$12/' Emissions Calculator'!$B$8)*5</f>
        <v>3.3492952970000007</v>
      </c>
      <c r="D6" s="247">
        <f>B6-C6</f>
        <v>1398.1762047029999</v>
      </c>
      <c r="E6" s="247">
        <f>D6*0.95</f>
        <v>1328.26739446785</v>
      </c>
      <c r="F6" s="247">
        <f>ROUND(E6-(' Emissions Calculator'!$B$9*5),0)</f>
        <v>1328</v>
      </c>
      <c r="G6" s="247">
        <f>ROUND(E6*(20/100),0)</f>
        <v>266</v>
      </c>
      <c r="H6" s="248">
        <f>F6-G6</f>
        <v>1062</v>
      </c>
      <c r="I6" s="199"/>
      <c r="J6" s="249">
        <v>5</v>
      </c>
      <c r="K6" s="250">
        <f>' Emissions Calculator'!B7</f>
        <v>45413</v>
      </c>
      <c r="L6" s="250">
        <f>DATE(YEAR(K6)+5, MONTH(K6), DAY(K6)-1)</f>
        <v>47238</v>
      </c>
      <c r="M6" s="251">
        <f>F6</f>
        <v>1328</v>
      </c>
      <c r="N6" s="251">
        <f>G6</f>
        <v>266</v>
      </c>
      <c r="O6" s="252">
        <f>M6-N6</f>
        <v>1062</v>
      </c>
      <c r="P6" s="199"/>
      <c r="Q6" s="253" t="s">
        <v>176</v>
      </c>
      <c r="R6" s="254">
        <f>SUM('Carbon Costs Calculator'!E5:E14,'Carbon Costs Calculator'!N5:N14,'Carbon Costs Calculator'!W5:W14)/1000</f>
        <v>36.458036440000001</v>
      </c>
      <c r="S6" s="255">
        <f>IFERROR((R6/R12)*100, 0)</f>
        <v>54.426428856028096</v>
      </c>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row>
    <row r="7" spans="1:52" ht="14.25" customHeight="1">
      <c r="A7" s="246" t="s">
        <v>93</v>
      </c>
      <c r="B7" s="247">
        <f>SUM(' Emissions Calculator'!V8:AE8)</f>
        <v>2803.0509999999999</v>
      </c>
      <c r="C7" s="247">
        <f>($R$12/' Emissions Calculator'!$B$8)*5</f>
        <v>3.3492952970000007</v>
      </c>
      <c r="D7" s="247">
        <f t="shared" ref="D7:D25" si="0">B7-C7</f>
        <v>2799.7017047029999</v>
      </c>
      <c r="E7" s="247">
        <f t="shared" ref="E7:E25" si="1">D7*0.95</f>
        <v>2659.7166194678498</v>
      </c>
      <c r="F7" s="247">
        <f>ROUND(E7-(' Emissions Calculator'!$B$9*5),0)</f>
        <v>2660</v>
      </c>
      <c r="G7" s="247">
        <f t="shared" ref="G7:G25" si="2">ROUND(E7*(20/100),0)</f>
        <v>532</v>
      </c>
      <c r="H7" s="248">
        <f t="shared" ref="H7:H25" si="3">F7-G7</f>
        <v>2128</v>
      </c>
      <c r="I7" s="189"/>
      <c r="J7" s="249">
        <v>15</v>
      </c>
      <c r="K7" s="250">
        <f t="shared" ref="K7:K16" si="4">DATE(YEAR(L6),MONTH(L6), DAY(L6)+1)</f>
        <v>47239</v>
      </c>
      <c r="L7" s="250">
        <f t="shared" ref="L7:L15" si="5">DATE(YEAR(K7)+10,MONTH(K7), DAY(K7)-1)</f>
        <v>50890</v>
      </c>
      <c r="M7" s="251">
        <f>F8-F6</f>
        <v>2663</v>
      </c>
      <c r="N7" s="251">
        <f>G8-G6</f>
        <v>532</v>
      </c>
      <c r="O7" s="252">
        <f t="shared" ref="O7:O16" si="6">M7-N7</f>
        <v>2131</v>
      </c>
      <c r="P7" s="189"/>
      <c r="Q7" s="253" t="s">
        <v>177</v>
      </c>
      <c r="R7" s="256">
        <f>SUM('Carbon Costs Calculator'!G5:G14,'Carbon Costs Calculator'!P5:P14,'Carbon Costs Calculator'!Y5:Y14)/1000</f>
        <v>0.6910695</v>
      </c>
      <c r="S7" s="257">
        <f>IFERROR((R7/R12)*100, 0)</f>
        <v>1.0316640348478654</v>
      </c>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row>
    <row r="8" spans="1:52" ht="14.25" customHeight="1">
      <c r="A8" s="246" t="s">
        <v>95</v>
      </c>
      <c r="B8" s="247">
        <f>SUM(' Emissions Calculator'!V9:AE9)</f>
        <v>4204.5764999999992</v>
      </c>
      <c r="C8" s="247">
        <f>($R$12/' Emissions Calculator'!$B$8)*5</f>
        <v>3.3492952970000007</v>
      </c>
      <c r="D8" s="247">
        <f t="shared" si="0"/>
        <v>4201.2272047029992</v>
      </c>
      <c r="E8" s="247">
        <f t="shared" si="1"/>
        <v>3991.1658444678492</v>
      </c>
      <c r="F8" s="247">
        <f>ROUND(E8-(' Emissions Calculator'!$B$9*5),0)</f>
        <v>3991</v>
      </c>
      <c r="G8" s="247">
        <f t="shared" si="2"/>
        <v>798</v>
      </c>
      <c r="H8" s="248">
        <f t="shared" si="3"/>
        <v>3193</v>
      </c>
      <c r="I8" s="189"/>
      <c r="J8" s="249">
        <v>25</v>
      </c>
      <c r="K8" s="250">
        <f t="shared" si="4"/>
        <v>50891</v>
      </c>
      <c r="L8" s="250">
        <f t="shared" si="5"/>
        <v>54543</v>
      </c>
      <c r="M8" s="251">
        <f>F10-F8</f>
        <v>2663</v>
      </c>
      <c r="N8" s="251">
        <f>G10-G8</f>
        <v>533</v>
      </c>
      <c r="O8" s="252">
        <f t="shared" si="6"/>
        <v>2130</v>
      </c>
      <c r="P8" s="189"/>
      <c r="Q8" s="253" t="s">
        <v>178</v>
      </c>
      <c r="R8" s="258">
        <f>SUM('Carbon Costs Calculator'!AO5:AP14,'Carbon Costs Calculator'!AO17:AP26,'Carbon Costs Calculator'!AO29:AP38)/1000</f>
        <v>29.836800000000004</v>
      </c>
      <c r="S8" s="259">
        <f>IFERROR((R8/R12)*100, 0)</f>
        <v>44.541907109124033</v>
      </c>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row>
    <row r="9" spans="1:52" ht="14.25" customHeight="1">
      <c r="A9" s="246" t="s">
        <v>96</v>
      </c>
      <c r="B9" s="247">
        <f>SUM(' Emissions Calculator'!V10:AE10)</f>
        <v>5606.1019999999999</v>
      </c>
      <c r="C9" s="247">
        <f>($R$12/' Emissions Calculator'!$B$8)*5</f>
        <v>3.3492952970000007</v>
      </c>
      <c r="D9" s="247">
        <f t="shared" si="0"/>
        <v>5602.7527047029998</v>
      </c>
      <c r="E9" s="247">
        <f t="shared" si="1"/>
        <v>5322.6150694678499</v>
      </c>
      <c r="F9" s="247">
        <f>ROUND(E9-(' Emissions Calculator'!$B$9*5),0)</f>
        <v>5323</v>
      </c>
      <c r="G9" s="247">
        <f t="shared" si="2"/>
        <v>1065</v>
      </c>
      <c r="H9" s="248">
        <f t="shared" si="3"/>
        <v>4258</v>
      </c>
      <c r="I9" s="189"/>
      <c r="J9" s="285">
        <v>35</v>
      </c>
      <c r="K9" s="286">
        <f t="shared" si="4"/>
        <v>54544</v>
      </c>
      <c r="L9" s="286">
        <f t="shared" si="5"/>
        <v>58195</v>
      </c>
      <c r="M9" s="287">
        <f>F12-F10</f>
        <v>2663</v>
      </c>
      <c r="N9" s="287">
        <f>G12-G10</f>
        <v>532</v>
      </c>
      <c r="O9" s="288">
        <f t="shared" si="6"/>
        <v>2131</v>
      </c>
      <c r="P9" s="189"/>
      <c r="Q9" s="253" t="s">
        <v>179</v>
      </c>
      <c r="R9" s="260">
        <f>SUM('Carbon Costs Calculator'!AP41:AP49)/1000</f>
        <v>0</v>
      </c>
      <c r="S9" s="261">
        <f>IFERROR((R9/R12)*100, 0)</f>
        <v>0</v>
      </c>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row>
    <row r="10" spans="1:52" ht="14.25" customHeight="1">
      <c r="A10" s="246" t="s">
        <v>97</v>
      </c>
      <c r="B10" s="247">
        <f>SUM(' Emissions Calculator'!V11:AE11)</f>
        <v>7007.6274999999987</v>
      </c>
      <c r="C10" s="247">
        <f>($R$12/' Emissions Calculator'!$B$8)*5</f>
        <v>3.3492952970000007</v>
      </c>
      <c r="D10" s="247">
        <f t="shared" si="0"/>
        <v>7004.2782047029987</v>
      </c>
      <c r="E10" s="247">
        <f t="shared" si="1"/>
        <v>6654.0642944678484</v>
      </c>
      <c r="F10" s="247">
        <f>ROUND(E10-(' Emissions Calculator'!$B$9*5),0)</f>
        <v>6654</v>
      </c>
      <c r="G10" s="247">
        <f t="shared" si="2"/>
        <v>1331</v>
      </c>
      <c r="H10" s="248">
        <f t="shared" si="3"/>
        <v>5323</v>
      </c>
      <c r="I10" s="189"/>
      <c r="J10" s="285">
        <v>45</v>
      </c>
      <c r="K10" s="286">
        <f t="shared" si="4"/>
        <v>58196</v>
      </c>
      <c r="L10" s="286">
        <f t="shared" si="5"/>
        <v>61848</v>
      </c>
      <c r="M10" s="287">
        <f>F14-F12</f>
        <v>2663</v>
      </c>
      <c r="N10" s="287">
        <f>G14-G12</f>
        <v>533</v>
      </c>
      <c r="O10" s="288">
        <f t="shared" si="6"/>
        <v>2130</v>
      </c>
      <c r="P10" s="189"/>
      <c r="Q10" s="334"/>
      <c r="R10" s="335"/>
      <c r="S10" s="336"/>
      <c r="T10" s="142"/>
      <c r="U10" s="26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row>
    <row r="11" spans="1:52" ht="14.25" customHeight="1">
      <c r="A11" s="246" t="s">
        <v>98</v>
      </c>
      <c r="B11" s="247">
        <f>SUM(' Emissions Calculator'!V12:AE12)</f>
        <v>8409.1530000000002</v>
      </c>
      <c r="C11" s="247">
        <f>($R$12/' Emissions Calculator'!$B$8)*5</f>
        <v>3.3492952970000007</v>
      </c>
      <c r="D11" s="247">
        <f t="shared" si="0"/>
        <v>8405.8037047030011</v>
      </c>
      <c r="E11" s="247">
        <f t="shared" si="1"/>
        <v>7985.5135194678505</v>
      </c>
      <c r="F11" s="247">
        <f>ROUND(E11-(' Emissions Calculator'!$B$9*5),0)</f>
        <v>7986</v>
      </c>
      <c r="G11" s="247">
        <f t="shared" si="2"/>
        <v>1597</v>
      </c>
      <c r="H11" s="248">
        <f t="shared" si="3"/>
        <v>6389</v>
      </c>
      <c r="I11" s="189"/>
      <c r="J11" s="285">
        <v>55</v>
      </c>
      <c r="K11" s="286">
        <f t="shared" si="4"/>
        <v>61849</v>
      </c>
      <c r="L11" s="286">
        <f t="shared" si="5"/>
        <v>65500</v>
      </c>
      <c r="M11" s="287">
        <f>F16-F14</f>
        <v>2663</v>
      </c>
      <c r="N11" s="287">
        <f>G16-G14</f>
        <v>533</v>
      </c>
      <c r="O11" s="288">
        <f t="shared" si="6"/>
        <v>2130</v>
      </c>
      <c r="P11" s="189"/>
      <c r="Q11" s="263" t="s">
        <v>180</v>
      </c>
      <c r="R11" s="298" t="s">
        <v>174</v>
      </c>
      <c r="S11" s="333"/>
      <c r="T11" s="142"/>
      <c r="U11" s="26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row>
    <row r="12" spans="1:52" ht="14.25" customHeight="1">
      <c r="A12" s="246" t="s">
        <v>99</v>
      </c>
      <c r="B12" s="247">
        <f>SUM(' Emissions Calculator'!V13:AE13)</f>
        <v>9810.6785</v>
      </c>
      <c r="C12" s="247">
        <f>($R$12/' Emissions Calculator'!$B$8)*5</f>
        <v>3.3492952970000007</v>
      </c>
      <c r="D12" s="247">
        <f t="shared" si="0"/>
        <v>9807.3292047030009</v>
      </c>
      <c r="E12" s="247">
        <f t="shared" si="1"/>
        <v>9316.9627444678499</v>
      </c>
      <c r="F12" s="247">
        <f>ROUND(E12-(' Emissions Calculator'!$B$9*5),0)</f>
        <v>9317</v>
      </c>
      <c r="G12" s="247">
        <f t="shared" si="2"/>
        <v>1863</v>
      </c>
      <c r="H12" s="248">
        <f t="shared" si="3"/>
        <v>7454</v>
      </c>
      <c r="I12" s="189"/>
      <c r="J12" s="285">
        <v>65</v>
      </c>
      <c r="K12" s="286">
        <f t="shared" si="4"/>
        <v>65501</v>
      </c>
      <c r="L12" s="286">
        <f t="shared" si="5"/>
        <v>69153</v>
      </c>
      <c r="M12" s="287">
        <f>F18-F16</f>
        <v>2663</v>
      </c>
      <c r="N12" s="287">
        <f>G18-G16</f>
        <v>532</v>
      </c>
      <c r="O12" s="288">
        <f t="shared" si="6"/>
        <v>2131</v>
      </c>
      <c r="P12" s="189"/>
      <c r="Q12" s="253" t="s">
        <v>181</v>
      </c>
      <c r="R12" s="305">
        <f>SUM(R6:R9)</f>
        <v>66.985905940000009</v>
      </c>
      <c r="S12" s="330"/>
      <c r="T12" s="264"/>
      <c r="U12" s="264"/>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row>
    <row r="13" spans="1:52" ht="14.25" customHeight="1" thickBot="1">
      <c r="A13" s="246" t="s">
        <v>100</v>
      </c>
      <c r="B13" s="247">
        <f>SUM(' Emissions Calculator'!V14:AE14)</f>
        <v>11212.204</v>
      </c>
      <c r="C13" s="247">
        <f>($R$12/' Emissions Calculator'!$B$8)*5</f>
        <v>3.3492952970000007</v>
      </c>
      <c r="D13" s="247">
        <f t="shared" si="0"/>
        <v>11208.854704703001</v>
      </c>
      <c r="E13" s="247">
        <f t="shared" si="1"/>
        <v>10648.41196946785</v>
      </c>
      <c r="F13" s="247">
        <f>ROUND(E13-(' Emissions Calculator'!$B$9*5),0)</f>
        <v>10648</v>
      </c>
      <c r="G13" s="247">
        <f t="shared" si="2"/>
        <v>2130</v>
      </c>
      <c r="H13" s="248">
        <f t="shared" si="3"/>
        <v>8518</v>
      </c>
      <c r="I13" s="189"/>
      <c r="J13" s="285">
        <v>75</v>
      </c>
      <c r="K13" s="286">
        <f t="shared" si="4"/>
        <v>69154</v>
      </c>
      <c r="L13" s="286">
        <f t="shared" si="5"/>
        <v>72805</v>
      </c>
      <c r="M13" s="287">
        <f>F20-F18</f>
        <v>2663</v>
      </c>
      <c r="N13" s="287">
        <f>G20-G18</f>
        <v>533</v>
      </c>
      <c r="O13" s="288">
        <f t="shared" si="6"/>
        <v>2130</v>
      </c>
      <c r="P13" s="189"/>
      <c r="Q13" s="265" t="s">
        <v>182</v>
      </c>
      <c r="R13" s="331">
        <f>IFERROR(R12/' Emissions Calculator'!E16, 0)</f>
        <v>0.67992190357287874</v>
      </c>
      <c r="S13" s="332"/>
      <c r="T13" s="219"/>
      <c r="U13" s="219"/>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row>
    <row r="14" spans="1:52" ht="14.25" customHeight="1">
      <c r="A14" s="246" t="s">
        <v>101</v>
      </c>
      <c r="B14" s="247">
        <f>SUM(' Emissions Calculator'!V15:AE15)</f>
        <v>12613.729499999998</v>
      </c>
      <c r="C14" s="247">
        <f>($R$12/' Emissions Calculator'!$B$8)*5</f>
        <v>3.3492952970000007</v>
      </c>
      <c r="D14" s="247">
        <f t="shared" si="0"/>
        <v>12610.380204702999</v>
      </c>
      <c r="E14" s="247">
        <f t="shared" si="1"/>
        <v>11979.861194467849</v>
      </c>
      <c r="F14" s="247">
        <f>ROUND(E14-(' Emissions Calculator'!$B$9*5),0)</f>
        <v>11980</v>
      </c>
      <c r="G14" s="247">
        <f t="shared" si="2"/>
        <v>2396</v>
      </c>
      <c r="H14" s="248">
        <f t="shared" si="3"/>
        <v>9584</v>
      </c>
      <c r="I14" s="189"/>
      <c r="J14" s="285">
        <v>85</v>
      </c>
      <c r="K14" s="286">
        <f t="shared" si="4"/>
        <v>72806</v>
      </c>
      <c r="L14" s="286">
        <f t="shared" si="5"/>
        <v>76457</v>
      </c>
      <c r="M14" s="287">
        <f>F22-F20</f>
        <v>2662</v>
      </c>
      <c r="N14" s="287">
        <f>G22-G20</f>
        <v>532</v>
      </c>
      <c r="O14" s="288">
        <f t="shared" si="6"/>
        <v>2130</v>
      </c>
      <c r="P14" s="189"/>
      <c r="Q14" s="142"/>
      <c r="R14" s="142"/>
      <c r="S14" s="142"/>
      <c r="T14" s="219"/>
      <c r="U14" s="142"/>
      <c r="V14" s="142"/>
      <c r="W14" s="142"/>
      <c r="X14" s="219"/>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row>
    <row r="15" spans="1:52" ht="14.25" customHeight="1">
      <c r="A15" s="246" t="s">
        <v>103</v>
      </c>
      <c r="B15" s="247">
        <f>SUM(' Emissions Calculator'!V16:AE16)</f>
        <v>14015.254999999999</v>
      </c>
      <c r="C15" s="247">
        <f>($R$12/' Emissions Calculator'!$B$8)*5</f>
        <v>3.3492952970000007</v>
      </c>
      <c r="D15" s="247">
        <f t="shared" si="0"/>
        <v>14011.905704703</v>
      </c>
      <c r="E15" s="247">
        <f t="shared" si="1"/>
        <v>13311.310419467849</v>
      </c>
      <c r="F15" s="247">
        <f>ROUND(E15-(' Emissions Calculator'!$B$9*5),0)</f>
        <v>13311</v>
      </c>
      <c r="G15" s="247">
        <f t="shared" si="2"/>
        <v>2662</v>
      </c>
      <c r="H15" s="248">
        <f t="shared" si="3"/>
        <v>10649</v>
      </c>
      <c r="I15" s="189"/>
      <c r="J15" s="285">
        <v>95</v>
      </c>
      <c r="K15" s="286">
        <f t="shared" si="4"/>
        <v>76458</v>
      </c>
      <c r="L15" s="286">
        <f t="shared" si="5"/>
        <v>80109</v>
      </c>
      <c r="M15" s="287">
        <f>F24-F22</f>
        <v>2663</v>
      </c>
      <c r="N15" s="287">
        <f>G24-G22</f>
        <v>533</v>
      </c>
      <c r="O15" s="288">
        <f t="shared" si="6"/>
        <v>2130</v>
      </c>
      <c r="P15" s="189"/>
      <c r="Q15" s="142"/>
      <c r="R15" s="142"/>
      <c r="S15" s="142"/>
      <c r="T15" s="219"/>
      <c r="U15" s="142"/>
      <c r="V15" s="142"/>
      <c r="W15" s="142"/>
      <c r="X15" s="219"/>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row>
    <row r="16" spans="1:52" ht="14.25" customHeight="1">
      <c r="A16" s="246" t="s">
        <v>104</v>
      </c>
      <c r="B16" s="247">
        <f>SUM(' Emissions Calculator'!V17:AE17)</f>
        <v>15416.780500000001</v>
      </c>
      <c r="C16" s="247">
        <f>($R$12/' Emissions Calculator'!$B$8)*5</f>
        <v>3.3492952970000007</v>
      </c>
      <c r="D16" s="247">
        <f t="shared" si="0"/>
        <v>15413.431204703002</v>
      </c>
      <c r="E16" s="247">
        <f t="shared" si="1"/>
        <v>14642.759644467851</v>
      </c>
      <c r="F16" s="247">
        <f>ROUND(E16-(' Emissions Calculator'!$B$9*5),0)</f>
        <v>14643</v>
      </c>
      <c r="G16" s="247">
        <f t="shared" si="2"/>
        <v>2929</v>
      </c>
      <c r="H16" s="248">
        <f t="shared" si="3"/>
        <v>11714</v>
      </c>
      <c r="I16" s="189"/>
      <c r="J16" s="289">
        <v>100</v>
      </c>
      <c r="K16" s="290">
        <f t="shared" si="4"/>
        <v>80110</v>
      </c>
      <c r="L16" s="290">
        <f>DATE(YEAR(K16)+5,MONTH(K16), DAY(K16)-1)</f>
        <v>81936</v>
      </c>
      <c r="M16" s="291">
        <f>F25-F24</f>
        <v>1332</v>
      </c>
      <c r="N16" s="291">
        <f>G25-G24</f>
        <v>266</v>
      </c>
      <c r="O16" s="292">
        <f t="shared" si="6"/>
        <v>1066</v>
      </c>
      <c r="P16" s="189"/>
      <c r="Q16" s="219"/>
      <c r="R16" s="219"/>
      <c r="S16" s="219"/>
      <c r="T16" s="219"/>
      <c r="U16" s="219"/>
      <c r="V16" s="219"/>
      <c r="W16" s="219"/>
      <c r="X16" s="219"/>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row>
    <row r="17" spans="1:58" ht="14.25" customHeight="1" thickBot="1">
      <c r="A17" s="246" t="s">
        <v>105</v>
      </c>
      <c r="B17" s="247">
        <f>SUM(' Emissions Calculator'!V18:AE18)</f>
        <v>16818.306000000004</v>
      </c>
      <c r="C17" s="247">
        <f>($R$12/' Emissions Calculator'!$B$8)*5</f>
        <v>3.3492952970000007</v>
      </c>
      <c r="D17" s="247">
        <f t="shared" si="0"/>
        <v>16814.956704703003</v>
      </c>
      <c r="E17" s="247">
        <f t="shared" si="1"/>
        <v>15974.208869467851</v>
      </c>
      <c r="F17" s="247">
        <f>ROUND(E17-(' Emissions Calculator'!$B$9*5),0)</f>
        <v>15974</v>
      </c>
      <c r="G17" s="247">
        <f t="shared" si="2"/>
        <v>3195</v>
      </c>
      <c r="H17" s="248">
        <f t="shared" si="3"/>
        <v>12779</v>
      </c>
      <c r="I17" s="189"/>
      <c r="J17" s="324" t="s">
        <v>183</v>
      </c>
      <c r="K17" s="325"/>
      <c r="L17" s="325"/>
      <c r="M17" s="266">
        <f>SUM(M6:M16)</f>
        <v>26626</v>
      </c>
      <c r="N17" s="266">
        <f>SUM(N6:N16)</f>
        <v>5325</v>
      </c>
      <c r="O17" s="267">
        <f>SUM(O6:O16)</f>
        <v>21301</v>
      </c>
      <c r="Q17" s="219"/>
      <c r="R17" s="219"/>
      <c r="S17" s="219"/>
      <c r="T17" s="219"/>
      <c r="U17" s="219"/>
      <c r="V17" s="219"/>
      <c r="W17" s="219"/>
      <c r="X17" s="219"/>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row>
    <row r="18" spans="1:58" ht="14.25" customHeight="1">
      <c r="A18" s="246" t="s">
        <v>106</v>
      </c>
      <c r="B18" s="247">
        <f>SUM(' Emissions Calculator'!V19:AE19)</f>
        <v>18219.8315</v>
      </c>
      <c r="C18" s="247">
        <f>($R$12/' Emissions Calculator'!$B$8)*5</f>
        <v>3.3492952970000007</v>
      </c>
      <c r="D18" s="247">
        <f t="shared" si="0"/>
        <v>18216.482204702999</v>
      </c>
      <c r="E18" s="247">
        <f t="shared" si="1"/>
        <v>17305.65809446785</v>
      </c>
      <c r="F18" s="247">
        <f>ROUND(E18-(' Emissions Calculator'!$B$9*5),0)</f>
        <v>17306</v>
      </c>
      <c r="G18" s="247">
        <f t="shared" si="2"/>
        <v>3461</v>
      </c>
      <c r="H18" s="248">
        <f t="shared" si="3"/>
        <v>13845</v>
      </c>
      <c r="I18" s="189"/>
      <c r="J18" s="189"/>
      <c r="K18" s="189"/>
      <c r="L18" s="189"/>
      <c r="M18" s="189"/>
      <c r="N18" s="189"/>
      <c r="O18" s="189"/>
      <c r="P18" s="189"/>
      <c r="Q18" s="219"/>
      <c r="R18" s="219"/>
      <c r="S18" s="219"/>
      <c r="T18" s="142"/>
      <c r="U18" s="142"/>
      <c r="V18" s="142"/>
      <c r="W18" s="219"/>
      <c r="X18" s="142"/>
      <c r="Y18" s="142"/>
      <c r="Z18" s="142"/>
      <c r="AA18" s="142"/>
      <c r="AB18" s="268"/>
      <c r="AC18" s="268"/>
      <c r="AD18" s="268"/>
      <c r="AE18" s="268"/>
      <c r="AF18" s="268"/>
      <c r="AG18" s="269"/>
      <c r="AH18" s="240"/>
      <c r="AI18" s="269"/>
      <c r="AJ18" s="142"/>
      <c r="AK18" s="142"/>
      <c r="AL18" s="142"/>
      <c r="AM18" s="142"/>
      <c r="AN18" s="142"/>
      <c r="AO18" s="142"/>
      <c r="AP18" s="142"/>
      <c r="AQ18" s="142"/>
      <c r="AR18" s="142"/>
      <c r="AS18" s="142"/>
      <c r="AT18" s="142"/>
      <c r="AU18" s="142"/>
      <c r="AV18" s="142"/>
      <c r="AW18" s="142"/>
      <c r="AX18" s="142"/>
      <c r="AY18" s="142"/>
      <c r="AZ18" s="142"/>
    </row>
    <row r="19" spans="1:58" ht="14.25" customHeight="1">
      <c r="A19" s="246" t="s">
        <v>107</v>
      </c>
      <c r="B19" s="247">
        <f>SUM(' Emissions Calculator'!V20:AE20)</f>
        <v>19621.357</v>
      </c>
      <c r="C19" s="247">
        <f>($R$12/' Emissions Calculator'!$B$8)*5</f>
        <v>3.3492952970000007</v>
      </c>
      <c r="D19" s="247">
        <f t="shared" si="0"/>
        <v>19618.007704702999</v>
      </c>
      <c r="E19" s="247">
        <f t="shared" si="1"/>
        <v>18637.107319467847</v>
      </c>
      <c r="F19" s="247">
        <f>ROUND(E19-(' Emissions Calculator'!$B$9*5),0)</f>
        <v>18637</v>
      </c>
      <c r="G19" s="247">
        <f t="shared" si="2"/>
        <v>3727</v>
      </c>
      <c r="H19" s="248">
        <f t="shared" si="3"/>
        <v>14910</v>
      </c>
      <c r="I19" s="189"/>
      <c r="J19" s="189"/>
      <c r="K19" s="189"/>
      <c r="L19" s="189"/>
      <c r="M19" s="189"/>
      <c r="N19" s="189"/>
      <c r="O19" s="189"/>
      <c r="P19" s="189"/>
      <c r="Q19" s="219"/>
      <c r="R19" s="219"/>
      <c r="S19" s="219"/>
      <c r="T19" s="142"/>
      <c r="U19" s="142"/>
      <c r="V19" s="142"/>
      <c r="W19" s="219"/>
      <c r="X19" s="142"/>
      <c r="Y19" s="142"/>
      <c r="Z19" s="142"/>
      <c r="AA19" s="142"/>
      <c r="AB19" s="268"/>
      <c r="AC19" s="268"/>
      <c r="AD19" s="268"/>
      <c r="AE19" s="268"/>
      <c r="AF19" s="268"/>
      <c r="AG19" s="142"/>
      <c r="AH19" s="142"/>
      <c r="AI19" s="142"/>
      <c r="AJ19" s="142"/>
      <c r="AK19" s="142"/>
      <c r="AL19" s="142"/>
      <c r="AM19" s="142"/>
      <c r="AN19" s="142"/>
      <c r="AO19" s="142"/>
      <c r="AP19" s="142"/>
      <c r="AQ19" s="142"/>
      <c r="AR19" s="142"/>
      <c r="AS19" s="142"/>
      <c r="AT19" s="142"/>
      <c r="AU19" s="142"/>
      <c r="AV19" s="142"/>
      <c r="AW19" s="142"/>
      <c r="AX19" s="142"/>
      <c r="AY19" s="142"/>
      <c r="AZ19" s="142"/>
    </row>
    <row r="20" spans="1:58" ht="14.25" customHeight="1">
      <c r="A20" s="246" t="s">
        <v>108</v>
      </c>
      <c r="B20" s="247">
        <f>SUM(' Emissions Calculator'!V21:AE21)</f>
        <v>21022.8825</v>
      </c>
      <c r="C20" s="247">
        <f>($R$12/' Emissions Calculator'!$B$8)*5</f>
        <v>3.3492952970000007</v>
      </c>
      <c r="D20" s="247">
        <f t="shared" si="0"/>
        <v>21019.533204702999</v>
      </c>
      <c r="E20" s="247">
        <f t="shared" si="1"/>
        <v>19968.556544467847</v>
      </c>
      <c r="F20" s="247">
        <f>ROUND(E20-(' Emissions Calculator'!$B$9*5),0)</f>
        <v>19969</v>
      </c>
      <c r="G20" s="247">
        <f t="shared" si="2"/>
        <v>3994</v>
      </c>
      <c r="H20" s="248">
        <f t="shared" si="3"/>
        <v>15975</v>
      </c>
      <c r="I20" s="189"/>
      <c r="J20" s="189"/>
      <c r="K20" s="189"/>
      <c r="L20" s="189"/>
      <c r="M20" s="189"/>
      <c r="N20" s="189"/>
      <c r="O20" s="189"/>
      <c r="P20" s="189"/>
      <c r="Q20" s="219"/>
      <c r="R20" s="219"/>
      <c r="S20" s="219"/>
      <c r="T20" s="142"/>
      <c r="U20" s="142"/>
      <c r="V20" s="142"/>
      <c r="W20" s="142"/>
      <c r="X20" s="142"/>
      <c r="Y20" s="142"/>
      <c r="Z20" s="142"/>
      <c r="AA20" s="142"/>
      <c r="AB20" s="270"/>
      <c r="AC20" s="270"/>
      <c r="AD20" s="270"/>
      <c r="AE20" s="264"/>
      <c r="AF20" s="264"/>
      <c r="AG20" s="142"/>
      <c r="AH20" s="142"/>
      <c r="AI20" s="142"/>
      <c r="AJ20" s="142"/>
      <c r="AK20" s="142"/>
      <c r="AL20" s="142"/>
      <c r="AM20" s="142"/>
      <c r="AN20" s="142"/>
      <c r="AO20" s="142"/>
      <c r="AP20" s="142"/>
      <c r="AQ20" s="142"/>
      <c r="AR20" s="142"/>
      <c r="AS20" s="142"/>
      <c r="AT20" s="142"/>
      <c r="AU20" s="142"/>
      <c r="AV20" s="142"/>
      <c r="AW20" s="142"/>
      <c r="AX20" s="142"/>
      <c r="AY20" s="142"/>
      <c r="AZ20" s="142"/>
    </row>
    <row r="21" spans="1:58" ht="14.25" customHeight="1">
      <c r="A21" s="246" t="s">
        <v>109</v>
      </c>
      <c r="B21" s="247">
        <f>SUM(' Emissions Calculator'!V22:AE22)</f>
        <v>22424.408000000003</v>
      </c>
      <c r="C21" s="247">
        <f>($R$12/' Emissions Calculator'!$B$8)*5</f>
        <v>3.3492952970000007</v>
      </c>
      <c r="D21" s="247">
        <f t="shared" si="0"/>
        <v>22421.058704703002</v>
      </c>
      <c r="E21" s="247">
        <f t="shared" si="1"/>
        <v>21300.005769467851</v>
      </c>
      <c r="F21" s="247">
        <f>ROUND(E21-(' Emissions Calculator'!$B$9*5),0)</f>
        <v>21300</v>
      </c>
      <c r="G21" s="247">
        <f t="shared" si="2"/>
        <v>4260</v>
      </c>
      <c r="H21" s="248">
        <f t="shared" si="3"/>
        <v>17040</v>
      </c>
      <c r="I21" s="189"/>
      <c r="J21" s="189"/>
      <c r="K21" s="189"/>
      <c r="L21" s="189"/>
      <c r="M21" s="189"/>
      <c r="N21" s="189"/>
      <c r="O21" s="189"/>
      <c r="P21" s="189"/>
      <c r="Q21" s="142"/>
      <c r="R21" s="142"/>
      <c r="S21" s="142"/>
      <c r="T21" s="142"/>
      <c r="U21" s="142"/>
      <c r="V21" s="142"/>
      <c r="W21" s="142"/>
      <c r="X21" s="142"/>
      <c r="Y21" s="142"/>
      <c r="Z21" s="142"/>
      <c r="AA21" s="142"/>
      <c r="AB21" s="270"/>
      <c r="AC21" s="270"/>
      <c r="AD21" s="270"/>
      <c r="AE21" s="271"/>
      <c r="AF21" s="271"/>
      <c r="AG21" s="142"/>
      <c r="AH21" s="142"/>
      <c r="AI21" s="142"/>
      <c r="AJ21" s="142"/>
      <c r="AK21" s="142"/>
      <c r="AL21" s="142"/>
      <c r="AM21" s="142"/>
      <c r="AN21" s="142"/>
      <c r="AO21" s="142"/>
      <c r="AP21" s="142"/>
      <c r="AQ21" s="142"/>
      <c r="AR21" s="142"/>
      <c r="AS21" s="142"/>
      <c r="AT21" s="142"/>
      <c r="AU21" s="142"/>
      <c r="AV21" s="142"/>
      <c r="AW21" s="142"/>
      <c r="AX21" s="142"/>
      <c r="AY21" s="142"/>
      <c r="AZ21" s="142"/>
    </row>
    <row r="22" spans="1:58" ht="14.25" customHeight="1">
      <c r="A22" s="246" t="s">
        <v>110</v>
      </c>
      <c r="B22" s="247">
        <f>SUM(' Emissions Calculator'!V23:AE23)</f>
        <v>23825.933499999999</v>
      </c>
      <c r="C22" s="247">
        <f>($R$12/' Emissions Calculator'!$B$8)*5</f>
        <v>3.3492952970000007</v>
      </c>
      <c r="D22" s="247">
        <f t="shared" si="0"/>
        <v>23822.584204702998</v>
      </c>
      <c r="E22" s="247">
        <f t="shared" si="1"/>
        <v>22631.454994467847</v>
      </c>
      <c r="F22" s="247">
        <f>ROUND(E22-(' Emissions Calculator'!$B$9*5),0)</f>
        <v>22631</v>
      </c>
      <c r="G22" s="247">
        <f t="shared" si="2"/>
        <v>4526</v>
      </c>
      <c r="H22" s="248">
        <f t="shared" si="3"/>
        <v>18105</v>
      </c>
      <c r="I22" s="189"/>
      <c r="J22" s="189"/>
      <c r="K22" s="189"/>
      <c r="L22" s="189"/>
      <c r="M22" s="189"/>
      <c r="N22" s="189"/>
      <c r="O22" s="189"/>
      <c r="P22" s="189"/>
      <c r="Q22" s="142"/>
      <c r="R22" s="142"/>
      <c r="S22" s="142"/>
      <c r="T22" s="142"/>
      <c r="U22" s="142"/>
      <c r="V22" s="142"/>
      <c r="W22" s="142"/>
      <c r="X22" s="142"/>
      <c r="Y22" s="142"/>
      <c r="Z22" s="142"/>
      <c r="AA22" s="142"/>
      <c r="AB22" s="270"/>
      <c r="AC22" s="270"/>
      <c r="AD22" s="270"/>
      <c r="AE22" s="271"/>
      <c r="AF22" s="271"/>
      <c r="AG22" s="142"/>
      <c r="AH22" s="142"/>
      <c r="AI22" s="142"/>
      <c r="AJ22" s="142"/>
      <c r="AK22" s="142"/>
      <c r="AL22" s="142"/>
      <c r="AM22" s="142"/>
      <c r="AN22" s="142"/>
      <c r="AO22" s="142"/>
      <c r="AP22" s="142"/>
      <c r="AQ22" s="142"/>
      <c r="AR22" s="142"/>
      <c r="AS22" s="142"/>
      <c r="AT22" s="142"/>
      <c r="AU22" s="142"/>
      <c r="AV22" s="142"/>
      <c r="AW22" s="142"/>
      <c r="AX22" s="142"/>
      <c r="AY22" s="142"/>
      <c r="AZ22" s="142"/>
    </row>
    <row r="23" spans="1:58" ht="14.25" customHeight="1">
      <c r="A23" s="246" t="s">
        <v>111</v>
      </c>
      <c r="B23" s="247">
        <f>SUM(' Emissions Calculator'!V24:AE24)</f>
        <v>25227.459000000003</v>
      </c>
      <c r="C23" s="247">
        <f>($R$12/' Emissions Calculator'!$B$8)*5</f>
        <v>3.3492952970000007</v>
      </c>
      <c r="D23" s="247">
        <f t="shared" si="0"/>
        <v>25224.109704703002</v>
      </c>
      <c r="E23" s="247">
        <f t="shared" si="1"/>
        <v>23962.904219467851</v>
      </c>
      <c r="F23" s="247">
        <f>ROUND(E23-(' Emissions Calculator'!$B$9*5),0)</f>
        <v>23963</v>
      </c>
      <c r="G23" s="247">
        <f t="shared" si="2"/>
        <v>4793</v>
      </c>
      <c r="H23" s="248">
        <f t="shared" si="3"/>
        <v>19170</v>
      </c>
      <c r="I23" s="189"/>
      <c r="J23" s="189"/>
      <c r="K23" s="189"/>
      <c r="L23" s="189"/>
      <c r="M23" s="189"/>
      <c r="N23" s="189"/>
      <c r="O23" s="189"/>
      <c r="P23" s="189"/>
      <c r="Q23" s="142"/>
      <c r="R23" s="142"/>
      <c r="S23" s="142"/>
      <c r="T23" s="142"/>
      <c r="U23" s="142"/>
      <c r="V23" s="142"/>
      <c r="W23" s="142"/>
      <c r="X23" s="142"/>
      <c r="Y23" s="142"/>
      <c r="Z23" s="142"/>
      <c r="AA23" s="142"/>
      <c r="AB23" s="270"/>
      <c r="AC23" s="270"/>
      <c r="AD23" s="270"/>
      <c r="AE23" s="271"/>
      <c r="AF23" s="271"/>
      <c r="AG23" s="142"/>
      <c r="AH23" s="142"/>
      <c r="AI23" s="142"/>
      <c r="AJ23" s="142"/>
      <c r="AK23" s="142"/>
      <c r="AL23" s="142"/>
      <c r="AM23" s="142"/>
      <c r="AN23" s="142"/>
      <c r="AO23" s="142"/>
      <c r="AP23" s="142"/>
      <c r="AQ23" s="142"/>
      <c r="AR23" s="142"/>
      <c r="AS23" s="142"/>
      <c r="AT23" s="142"/>
      <c r="AU23" s="142"/>
      <c r="AV23" s="142"/>
      <c r="AW23" s="142"/>
      <c r="AX23" s="142"/>
      <c r="AY23" s="142"/>
      <c r="AZ23" s="142"/>
    </row>
    <row r="24" spans="1:58" ht="14.25" customHeight="1">
      <c r="A24" s="246" t="s">
        <v>112</v>
      </c>
      <c r="B24" s="247">
        <f>SUM(' Emissions Calculator'!V25:AE25)</f>
        <v>26628.984500000002</v>
      </c>
      <c r="C24" s="247">
        <f>($R$12/' Emissions Calculator'!$B$8)*5</f>
        <v>3.3492952970000007</v>
      </c>
      <c r="D24" s="247">
        <f t="shared" si="0"/>
        <v>26625.635204703001</v>
      </c>
      <c r="E24" s="247">
        <f t="shared" si="1"/>
        <v>25294.353444467852</v>
      </c>
      <c r="F24" s="247">
        <f>ROUND(E24-(' Emissions Calculator'!$B$9*5),0)</f>
        <v>25294</v>
      </c>
      <c r="G24" s="247">
        <f t="shared" si="2"/>
        <v>5059</v>
      </c>
      <c r="H24" s="248">
        <f t="shared" si="3"/>
        <v>20235</v>
      </c>
      <c r="I24" s="189"/>
      <c r="J24" s="189"/>
      <c r="K24" s="189"/>
      <c r="L24" s="189"/>
      <c r="M24" s="189"/>
      <c r="N24" s="189"/>
      <c r="O24" s="189"/>
      <c r="P24" s="189"/>
      <c r="Q24" s="142"/>
      <c r="R24" s="142"/>
      <c r="S24" s="142"/>
      <c r="T24" s="142"/>
      <c r="U24" s="142"/>
      <c r="V24" s="142"/>
      <c r="W24" s="142"/>
      <c r="X24" s="142"/>
      <c r="Y24" s="142"/>
      <c r="Z24" s="142"/>
      <c r="AA24" s="142"/>
      <c r="AB24" s="241"/>
      <c r="AC24" s="241"/>
      <c r="AD24" s="241"/>
      <c r="AE24" s="262"/>
      <c r="AF24" s="262"/>
      <c r="AG24" s="142"/>
      <c r="AH24" s="142"/>
      <c r="AI24" s="142"/>
      <c r="AJ24" s="142"/>
      <c r="AK24" s="142"/>
      <c r="AL24" s="142"/>
      <c r="AM24" s="142"/>
      <c r="AN24" s="142"/>
      <c r="AO24" s="142"/>
      <c r="AP24" s="142"/>
      <c r="AQ24" s="142"/>
      <c r="AR24" s="142"/>
      <c r="AS24" s="142"/>
      <c r="AT24" s="142"/>
      <c r="AU24" s="142"/>
      <c r="AV24" s="142"/>
      <c r="AW24" s="142"/>
      <c r="AX24" s="142"/>
      <c r="AY24" s="142"/>
      <c r="AZ24" s="142"/>
    </row>
    <row r="25" spans="1:58" ht="14.25" customHeight="1">
      <c r="A25" s="246" t="s">
        <v>113</v>
      </c>
      <c r="B25" s="247">
        <f>SUM(' Emissions Calculator'!V26:AE26)</f>
        <v>28030.510000000002</v>
      </c>
      <c r="C25" s="247">
        <f>($R$12/' Emissions Calculator'!$B$8)*5</f>
        <v>3.3492952970000007</v>
      </c>
      <c r="D25" s="247">
        <f t="shared" si="0"/>
        <v>28027.160704703001</v>
      </c>
      <c r="E25" s="247">
        <f t="shared" si="1"/>
        <v>26625.802669467848</v>
      </c>
      <c r="F25" s="247">
        <f>ROUND(E25-(' Emissions Calculator'!$B$9*5),0)</f>
        <v>26626</v>
      </c>
      <c r="G25" s="247">
        <f t="shared" si="2"/>
        <v>5325</v>
      </c>
      <c r="H25" s="248">
        <f t="shared" si="3"/>
        <v>21301</v>
      </c>
      <c r="I25" s="189"/>
      <c r="J25" s="189"/>
      <c r="K25" s="189"/>
      <c r="L25" s="189"/>
      <c r="M25" s="189"/>
      <c r="N25" s="189"/>
      <c r="O25" s="189"/>
      <c r="P25" s="189"/>
      <c r="Q25" s="142"/>
      <c r="R25" s="142"/>
      <c r="S25" s="142"/>
      <c r="T25" s="142"/>
      <c r="U25" s="142"/>
      <c r="V25" s="142"/>
      <c r="W25" s="142"/>
      <c r="X25" s="142"/>
      <c r="Y25" s="142"/>
      <c r="Z25" s="142"/>
      <c r="AA25" s="142"/>
      <c r="AB25" s="241"/>
      <c r="AC25" s="241"/>
      <c r="AD25" s="241"/>
      <c r="AE25" s="262"/>
      <c r="AF25" s="262"/>
      <c r="AG25" s="142"/>
      <c r="AH25" s="142"/>
      <c r="AI25" s="142"/>
      <c r="AJ25" s="142"/>
      <c r="AK25" s="142"/>
      <c r="AL25" s="142"/>
      <c r="AM25" s="142"/>
      <c r="AN25" s="142"/>
      <c r="AO25" s="142"/>
      <c r="AP25" s="142"/>
      <c r="AQ25" s="142"/>
      <c r="AR25" s="142"/>
      <c r="AS25" s="142"/>
      <c r="AT25" s="142"/>
      <c r="AU25" s="142"/>
      <c r="AV25" s="142"/>
      <c r="AW25" s="142"/>
      <c r="AX25" s="142"/>
      <c r="AY25" s="142"/>
      <c r="AZ25" s="142"/>
    </row>
    <row r="26" spans="1:58" ht="14.25" customHeight="1">
      <c r="I26" s="189"/>
      <c r="J26" s="189"/>
      <c r="K26" s="189"/>
      <c r="L26" s="189"/>
      <c r="M26" s="189"/>
      <c r="N26" s="189"/>
      <c r="O26" s="189"/>
      <c r="P26" s="189"/>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row>
    <row r="27" spans="1:58" ht="14.25" customHeight="1">
      <c r="A27" s="189"/>
      <c r="B27" s="272"/>
      <c r="C27" s="272"/>
      <c r="D27" s="272"/>
      <c r="E27" s="272"/>
      <c r="F27" s="272"/>
      <c r="G27" s="189"/>
      <c r="H27" s="189"/>
      <c r="I27" s="189"/>
      <c r="J27" s="189"/>
      <c r="K27" s="189"/>
      <c r="L27" s="189"/>
      <c r="M27" s="189"/>
      <c r="N27" s="189"/>
      <c r="O27" s="189"/>
      <c r="P27" s="189"/>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row>
    <row r="28" spans="1:58" ht="14.25" customHeight="1">
      <c r="A28" s="189"/>
      <c r="B28" s="272"/>
      <c r="C28" s="272"/>
      <c r="D28" s="272"/>
      <c r="E28" s="272"/>
      <c r="F28" s="272"/>
      <c r="G28" s="189"/>
      <c r="H28" s="189"/>
      <c r="I28" s="189"/>
      <c r="J28" s="189"/>
      <c r="K28" s="189"/>
      <c r="L28" s="189"/>
      <c r="M28" s="189"/>
      <c r="N28" s="189"/>
      <c r="O28" s="189"/>
      <c r="P28" s="189"/>
      <c r="Q28" s="219"/>
      <c r="R28" s="219"/>
      <c r="S28" s="273"/>
      <c r="T28" s="273"/>
      <c r="U28" s="273"/>
      <c r="V28" s="273"/>
      <c r="W28" s="273"/>
      <c r="X28" s="273"/>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row>
    <row r="29" spans="1:58" ht="14.25" customHeight="1">
      <c r="A29" s="189"/>
      <c r="B29" s="272"/>
      <c r="C29" s="272"/>
      <c r="D29" s="272"/>
      <c r="E29" s="272"/>
      <c r="F29" s="272"/>
      <c r="G29" s="189"/>
      <c r="H29" s="189"/>
      <c r="I29" s="189"/>
      <c r="J29" s="189"/>
      <c r="K29" s="189"/>
      <c r="L29" s="189"/>
      <c r="M29" s="189"/>
      <c r="N29" s="189"/>
      <c r="O29" s="189"/>
      <c r="P29" s="189"/>
      <c r="Q29" s="142"/>
      <c r="R29" s="142"/>
      <c r="S29" s="219"/>
      <c r="T29" s="219"/>
      <c r="U29" s="219"/>
      <c r="V29" s="219"/>
      <c r="W29" s="219"/>
      <c r="X29" s="219"/>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219"/>
      <c r="AZ29" s="219"/>
      <c r="BA29" s="221"/>
      <c r="BB29" s="221"/>
      <c r="BC29" s="221"/>
      <c r="BD29" s="221"/>
      <c r="BE29" s="221"/>
      <c r="BF29" s="221"/>
    </row>
    <row r="30" spans="1:58" ht="14.25" customHeight="1">
      <c r="A30" s="189"/>
      <c r="B30" s="272"/>
      <c r="C30" s="272"/>
      <c r="D30" s="272"/>
      <c r="E30" s="272"/>
      <c r="F30" s="272"/>
      <c r="G30" s="189"/>
      <c r="H30" s="189"/>
      <c r="I30" s="189"/>
      <c r="J30" s="189"/>
      <c r="K30" s="189"/>
      <c r="L30" s="189"/>
      <c r="M30" s="189"/>
      <c r="N30" s="189"/>
      <c r="O30" s="189"/>
      <c r="P30" s="189"/>
      <c r="Q30" s="142"/>
      <c r="R30" s="142"/>
      <c r="S30" s="219"/>
      <c r="T30" s="219"/>
      <c r="U30" s="219"/>
      <c r="V30" s="219"/>
      <c r="W30" s="219"/>
      <c r="X30" s="219"/>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219"/>
      <c r="AZ30" s="219"/>
      <c r="BA30" s="221"/>
      <c r="BB30" s="221"/>
      <c r="BC30" s="221"/>
      <c r="BD30" s="221"/>
      <c r="BE30" s="221"/>
      <c r="BF30" s="221"/>
    </row>
    <row r="31" spans="1:58" ht="14.25" customHeight="1">
      <c r="A31" s="189"/>
      <c r="B31" s="272"/>
      <c r="C31" s="272"/>
      <c r="D31" s="272"/>
      <c r="E31" s="272"/>
      <c r="F31" s="272"/>
      <c r="G31" s="189"/>
      <c r="H31" s="189"/>
      <c r="I31" s="189"/>
      <c r="J31" s="189"/>
      <c r="K31" s="189"/>
      <c r="L31" s="189"/>
      <c r="M31" s="189"/>
      <c r="N31" s="189"/>
      <c r="O31" s="189"/>
      <c r="P31" s="189"/>
      <c r="Q31" s="142"/>
      <c r="R31" s="142"/>
      <c r="S31" s="219"/>
      <c r="T31" s="219"/>
      <c r="U31" s="219"/>
      <c r="V31" s="219"/>
      <c r="W31" s="219"/>
      <c r="X31" s="219"/>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219"/>
      <c r="AZ31" s="219"/>
      <c r="BA31" s="221"/>
      <c r="BB31" s="221"/>
      <c r="BC31" s="221"/>
      <c r="BD31" s="221"/>
      <c r="BE31" s="221"/>
      <c r="BF31" s="221"/>
    </row>
    <row r="32" spans="1:58" ht="14.25" customHeight="1">
      <c r="A32" s="189"/>
      <c r="B32" s="272"/>
      <c r="C32" s="272"/>
      <c r="D32" s="272"/>
      <c r="E32" s="272"/>
      <c r="F32" s="272"/>
      <c r="G32" s="189"/>
      <c r="H32" s="189"/>
      <c r="I32" s="189"/>
      <c r="J32" s="189"/>
      <c r="K32" s="189"/>
      <c r="L32" s="189"/>
      <c r="M32" s="189"/>
      <c r="N32" s="189"/>
      <c r="O32" s="189"/>
      <c r="P32" s="189"/>
      <c r="Q32" s="142"/>
      <c r="R32" s="142"/>
      <c r="S32" s="219"/>
      <c r="T32" s="219"/>
      <c r="U32" s="219"/>
      <c r="V32" s="219"/>
      <c r="W32" s="219"/>
      <c r="X32" s="219"/>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274"/>
      <c r="AZ32" s="274"/>
      <c r="BA32" s="275"/>
      <c r="BB32" s="275"/>
      <c r="BC32" s="275"/>
      <c r="BD32" s="275"/>
      <c r="BE32" s="275"/>
      <c r="BF32" s="275"/>
    </row>
    <row r="33" spans="1:58" ht="14.25" customHeight="1">
      <c r="A33" s="189"/>
      <c r="B33" s="272"/>
      <c r="C33" s="272"/>
      <c r="D33" s="272"/>
      <c r="E33" s="272"/>
      <c r="F33" s="272"/>
      <c r="G33" s="189"/>
      <c r="H33" s="189"/>
      <c r="I33" s="189"/>
      <c r="J33" s="189"/>
      <c r="K33" s="189"/>
      <c r="L33" s="189"/>
      <c r="M33" s="189"/>
      <c r="N33" s="189"/>
      <c r="O33" s="189"/>
      <c r="P33" s="189"/>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219"/>
      <c r="AZ33" s="219"/>
      <c r="BA33" s="221"/>
      <c r="BB33" s="221"/>
      <c r="BC33" s="221"/>
      <c r="BD33" s="221"/>
      <c r="BE33" s="221"/>
      <c r="BF33" s="221"/>
    </row>
    <row r="34" spans="1:58" ht="14.25" customHeight="1">
      <c r="A34" s="189"/>
      <c r="B34" s="272"/>
      <c r="C34" s="272"/>
      <c r="D34" s="272"/>
      <c r="E34" s="272"/>
      <c r="F34" s="272"/>
      <c r="G34" s="189"/>
      <c r="H34" s="189"/>
      <c r="I34" s="189"/>
      <c r="J34" s="189"/>
      <c r="K34" s="189"/>
      <c r="L34" s="189"/>
      <c r="M34" s="189"/>
      <c r="N34" s="189"/>
      <c r="O34" s="189"/>
      <c r="P34" s="189"/>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219"/>
      <c r="AZ34" s="219"/>
      <c r="BA34" s="221"/>
      <c r="BB34" s="221"/>
      <c r="BC34" s="221"/>
      <c r="BD34" s="221"/>
      <c r="BE34" s="221"/>
      <c r="BF34" s="221"/>
    </row>
    <row r="35" spans="1:58" ht="14.25" customHeight="1">
      <c r="A35" s="189"/>
      <c r="B35" s="272"/>
      <c r="C35" s="272"/>
      <c r="D35" s="272"/>
      <c r="E35" s="272"/>
      <c r="F35" s="272"/>
      <c r="G35" s="189"/>
      <c r="H35" s="189"/>
      <c r="I35" s="189"/>
      <c r="J35" s="189"/>
      <c r="K35" s="189"/>
      <c r="L35" s="189"/>
      <c r="M35" s="189"/>
      <c r="N35" s="276"/>
      <c r="O35" s="276"/>
      <c r="P35" s="276"/>
      <c r="Q35" s="276"/>
      <c r="R35" s="276"/>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219"/>
      <c r="AZ35" s="219"/>
      <c r="BA35" s="221"/>
      <c r="BB35" s="221"/>
      <c r="BC35" s="221"/>
      <c r="BD35" s="221"/>
      <c r="BE35" s="221"/>
      <c r="BF35" s="221"/>
    </row>
    <row r="36" spans="1:58" ht="14.25" customHeight="1">
      <c r="A36" s="189"/>
      <c r="B36" s="272"/>
      <c r="C36" s="272"/>
      <c r="D36" s="272"/>
      <c r="E36" s="272"/>
      <c r="F36" s="272"/>
      <c r="G36" s="189"/>
      <c r="H36" s="189"/>
      <c r="I36" s="189"/>
      <c r="J36" s="189"/>
      <c r="K36" s="189"/>
      <c r="L36" s="189"/>
      <c r="M36" s="189"/>
      <c r="N36" s="189"/>
      <c r="O36" s="189"/>
      <c r="P36" s="189"/>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219"/>
      <c r="AZ36" s="219"/>
      <c r="BA36" s="221"/>
      <c r="BB36" s="221"/>
      <c r="BC36" s="221"/>
      <c r="BD36" s="221"/>
      <c r="BE36" s="221"/>
      <c r="BF36" s="221"/>
    </row>
    <row r="37" spans="1:58" ht="14.25" customHeight="1">
      <c r="A37" s="189"/>
      <c r="B37" s="272"/>
      <c r="C37" s="272"/>
      <c r="D37" s="272"/>
      <c r="E37" s="272"/>
      <c r="F37" s="272"/>
      <c r="G37" s="189"/>
      <c r="H37" s="189"/>
      <c r="I37" s="189"/>
      <c r="J37" s="189"/>
      <c r="K37" s="189"/>
      <c r="L37" s="189"/>
      <c r="M37" s="189"/>
      <c r="N37" s="189"/>
      <c r="O37" s="189"/>
      <c r="P37" s="189"/>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row>
    <row r="38" spans="1:58" ht="14.25" customHeight="1">
      <c r="A38" s="189"/>
      <c r="B38" s="272"/>
      <c r="C38" s="272"/>
      <c r="D38" s="272"/>
      <c r="E38" s="272"/>
      <c r="F38" s="272"/>
      <c r="G38" s="189"/>
      <c r="H38" s="189"/>
      <c r="I38" s="189"/>
      <c r="J38" s="189"/>
      <c r="K38" s="189"/>
      <c r="L38" s="189"/>
      <c r="M38" s="189"/>
      <c r="N38" s="189"/>
      <c r="O38" s="189"/>
      <c r="P38" s="189"/>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row>
    <row r="39" spans="1:58" ht="14.25" customHeight="1">
      <c r="A39" s="189"/>
      <c r="B39" s="272"/>
      <c r="C39" s="272"/>
      <c r="D39" s="272"/>
      <c r="E39" s="272"/>
      <c r="F39" s="272"/>
      <c r="G39" s="189"/>
      <c r="H39" s="189"/>
      <c r="I39" s="189"/>
      <c r="J39" s="189"/>
      <c r="K39" s="189"/>
      <c r="L39" s="189"/>
      <c r="M39" s="189"/>
      <c r="N39" s="189"/>
      <c r="O39" s="189"/>
      <c r="P39" s="189"/>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row>
    <row r="40" spans="1:58" ht="14.25" customHeight="1">
      <c r="A40" s="189"/>
      <c r="B40" s="272"/>
      <c r="C40" s="272"/>
      <c r="D40" s="272"/>
      <c r="E40" s="272"/>
      <c r="F40" s="272"/>
      <c r="G40" s="189"/>
      <c r="H40" s="189"/>
      <c r="I40" s="189"/>
      <c r="J40" s="189"/>
      <c r="K40" s="189"/>
      <c r="L40" s="189"/>
      <c r="M40" s="189"/>
      <c r="N40" s="189"/>
      <c r="O40" s="189"/>
      <c r="P40" s="189"/>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row>
    <row r="41" spans="1:58" ht="14.25" customHeight="1">
      <c r="A41" s="189"/>
      <c r="B41" s="272"/>
      <c r="C41" s="272"/>
      <c r="D41" s="272"/>
      <c r="E41" s="272"/>
      <c r="F41" s="272"/>
      <c r="G41" s="189"/>
      <c r="H41" s="189"/>
      <c r="I41" s="189"/>
      <c r="J41" s="189"/>
      <c r="K41" s="189"/>
      <c r="L41" s="189"/>
      <c r="M41" s="189"/>
      <c r="N41" s="189"/>
      <c r="O41" s="189"/>
      <c r="P41" s="189"/>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row>
    <row r="42" spans="1:58" ht="14.25" customHeight="1">
      <c r="A42" s="189"/>
      <c r="B42" s="272"/>
      <c r="C42" s="272"/>
      <c r="D42" s="272"/>
      <c r="E42" s="272"/>
      <c r="F42" s="272"/>
      <c r="G42" s="189"/>
      <c r="H42" s="189"/>
      <c r="I42" s="189"/>
      <c r="J42" s="189"/>
      <c r="K42" s="189"/>
      <c r="L42" s="189"/>
      <c r="M42" s="189"/>
      <c r="N42" s="189"/>
      <c r="O42" s="189"/>
      <c r="P42" s="189"/>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row>
    <row r="43" spans="1:58" ht="14.25" customHeight="1">
      <c r="A43" s="189"/>
      <c r="B43" s="272"/>
      <c r="C43" s="272"/>
      <c r="D43" s="272"/>
      <c r="E43" s="272"/>
      <c r="F43" s="272"/>
      <c r="G43" s="189"/>
      <c r="H43" s="189"/>
      <c r="I43" s="189"/>
      <c r="J43" s="189"/>
      <c r="K43" s="189"/>
      <c r="L43" s="189"/>
      <c r="M43" s="189"/>
      <c r="N43" s="189"/>
      <c r="O43" s="189"/>
      <c r="P43" s="189"/>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row>
    <row r="44" spans="1:58" ht="14.25" customHeight="1">
      <c r="A44" s="189"/>
      <c r="B44" s="272"/>
      <c r="C44" s="272"/>
      <c r="D44" s="272"/>
      <c r="E44" s="272"/>
      <c r="F44" s="272"/>
      <c r="G44" s="189"/>
      <c r="H44" s="189"/>
      <c r="I44" s="189"/>
      <c r="J44" s="189"/>
      <c r="K44" s="189"/>
      <c r="L44" s="189"/>
      <c r="M44" s="189"/>
      <c r="N44" s="189"/>
      <c r="O44" s="189"/>
      <c r="P44" s="189"/>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row>
    <row r="45" spans="1:58" ht="14.25" customHeight="1">
      <c r="A45" s="189"/>
      <c r="B45" s="272"/>
      <c r="C45" s="272"/>
      <c r="D45" s="272"/>
      <c r="E45" s="272"/>
      <c r="F45" s="272"/>
      <c r="G45" s="189"/>
      <c r="H45" s="189"/>
      <c r="I45" s="189"/>
      <c r="J45" s="189"/>
      <c r="K45" s="189"/>
      <c r="L45" s="189"/>
      <c r="M45" s="189"/>
      <c r="N45" s="189"/>
      <c r="O45" s="189"/>
      <c r="P45" s="189"/>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row>
    <row r="46" spans="1:58" ht="14.25" customHeight="1">
      <c r="A46" s="189"/>
      <c r="B46" s="272"/>
      <c r="C46" s="272"/>
      <c r="D46" s="272"/>
      <c r="E46" s="272"/>
      <c r="F46" s="272"/>
      <c r="G46" s="189"/>
      <c r="H46" s="189"/>
      <c r="I46" s="189"/>
      <c r="J46" s="189"/>
      <c r="K46" s="189"/>
      <c r="L46" s="189"/>
      <c r="M46" s="189"/>
      <c r="N46" s="189"/>
      <c r="O46" s="189"/>
      <c r="P46" s="189"/>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row>
    <row r="47" spans="1:58" ht="14.25" customHeight="1">
      <c r="A47" s="189"/>
      <c r="B47" s="272"/>
      <c r="C47" s="272"/>
      <c r="D47" s="272"/>
      <c r="E47" s="272"/>
      <c r="F47" s="272"/>
      <c r="G47" s="189"/>
      <c r="H47" s="189"/>
      <c r="I47" s="189"/>
      <c r="J47" s="189"/>
      <c r="K47" s="189"/>
      <c r="L47" s="189"/>
      <c r="M47" s="189"/>
      <c r="N47" s="189"/>
      <c r="O47" s="189"/>
      <c r="P47" s="189"/>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row>
    <row r="48" spans="1:58" ht="14.25" customHeight="1">
      <c r="A48" s="189"/>
      <c r="B48" s="272"/>
      <c r="C48" s="272"/>
      <c r="D48" s="272"/>
      <c r="E48" s="272"/>
      <c r="F48" s="272"/>
      <c r="G48" s="189"/>
      <c r="H48" s="189"/>
      <c r="I48" s="189"/>
      <c r="J48" s="189"/>
      <c r="K48" s="189"/>
      <c r="L48" s="189"/>
      <c r="M48" s="189"/>
      <c r="N48" s="189"/>
      <c r="O48" s="189"/>
      <c r="P48" s="189"/>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row>
    <row r="49" spans="1:52" ht="14.25" customHeight="1">
      <c r="A49" s="189"/>
      <c r="B49" s="272"/>
      <c r="C49" s="272"/>
      <c r="D49" s="272"/>
      <c r="E49" s="272"/>
      <c r="F49" s="272"/>
      <c r="G49" s="189"/>
      <c r="H49" s="189"/>
      <c r="I49" s="189"/>
      <c r="J49" s="189"/>
      <c r="K49" s="189"/>
      <c r="L49" s="189"/>
      <c r="M49" s="189"/>
      <c r="N49" s="189"/>
      <c r="O49" s="189"/>
      <c r="P49" s="189"/>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row>
    <row r="50" spans="1:52" ht="14.25" customHeight="1">
      <c r="A50" s="189"/>
      <c r="B50" s="272"/>
      <c r="C50" s="272"/>
      <c r="D50" s="272"/>
      <c r="E50" s="272"/>
      <c r="F50" s="272"/>
      <c r="G50" s="189"/>
      <c r="H50" s="189"/>
      <c r="I50" s="189"/>
      <c r="J50" s="189"/>
      <c r="K50" s="189"/>
      <c r="L50" s="189"/>
      <c r="M50" s="189"/>
      <c r="N50" s="189"/>
      <c r="O50" s="189"/>
      <c r="P50" s="189"/>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row>
    <row r="51" spans="1:52" ht="14.25" customHeight="1">
      <c r="A51" s="189"/>
      <c r="B51" s="272"/>
      <c r="C51" s="272"/>
      <c r="D51" s="272"/>
      <c r="E51" s="272"/>
      <c r="F51" s="272"/>
      <c r="G51" s="189"/>
      <c r="H51" s="189"/>
      <c r="I51" s="189"/>
      <c r="J51" s="189"/>
      <c r="K51" s="189"/>
      <c r="L51" s="189"/>
      <c r="M51" s="189"/>
      <c r="N51" s="189"/>
      <c r="O51" s="189"/>
      <c r="P51" s="189"/>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row>
    <row r="52" spans="1:52" ht="14.25" customHeight="1">
      <c r="A52" s="189"/>
      <c r="B52" s="272"/>
      <c r="C52" s="272"/>
      <c r="D52" s="272"/>
      <c r="E52" s="272"/>
      <c r="F52" s="272"/>
      <c r="G52" s="189"/>
      <c r="H52" s="189"/>
      <c r="I52" s="189"/>
      <c r="J52" s="189"/>
      <c r="K52" s="189"/>
      <c r="L52" s="189"/>
      <c r="M52" s="189"/>
      <c r="N52" s="189"/>
      <c r="O52" s="189"/>
      <c r="P52" s="189"/>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row>
    <row r="53" spans="1:52" ht="14.25" customHeight="1">
      <c r="A53" s="189"/>
      <c r="B53" s="272"/>
      <c r="C53" s="272"/>
      <c r="D53" s="272"/>
      <c r="E53" s="272"/>
      <c r="F53" s="272"/>
      <c r="G53" s="189"/>
      <c r="H53" s="189"/>
      <c r="I53" s="189"/>
      <c r="J53" s="189"/>
      <c r="K53" s="189"/>
      <c r="L53" s="189"/>
      <c r="M53" s="189"/>
      <c r="N53" s="189"/>
      <c r="O53" s="189"/>
      <c r="P53" s="189"/>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row>
    <row r="54" spans="1:52" ht="14.25" customHeight="1">
      <c r="A54" s="189"/>
      <c r="B54" s="272"/>
      <c r="C54" s="272"/>
      <c r="D54" s="272"/>
      <c r="E54" s="272"/>
      <c r="F54" s="272"/>
      <c r="G54" s="189"/>
      <c r="H54" s="189"/>
      <c r="I54" s="189"/>
      <c r="J54" s="189"/>
      <c r="K54" s="189"/>
      <c r="L54" s="189"/>
      <c r="M54" s="189"/>
      <c r="N54" s="189"/>
      <c r="O54" s="189"/>
      <c r="P54" s="189"/>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row>
    <row r="55" spans="1:52" ht="14.25" customHeight="1">
      <c r="A55" s="189"/>
      <c r="B55" s="272"/>
      <c r="C55" s="272"/>
      <c r="D55" s="272"/>
      <c r="E55" s="272"/>
      <c r="F55" s="272"/>
      <c r="G55" s="189"/>
      <c r="H55" s="189"/>
      <c r="I55" s="189"/>
      <c r="J55" s="189"/>
      <c r="K55" s="189"/>
      <c r="L55" s="189"/>
      <c r="M55" s="189"/>
      <c r="N55" s="189"/>
      <c r="O55" s="189"/>
      <c r="P55" s="189"/>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row>
    <row r="56" spans="1:52" ht="14.25" customHeight="1">
      <c r="A56" s="189"/>
      <c r="B56" s="272"/>
      <c r="C56" s="272"/>
      <c r="D56" s="272"/>
      <c r="E56" s="272"/>
      <c r="F56" s="272"/>
      <c r="G56" s="189"/>
      <c r="H56" s="189"/>
      <c r="I56" s="189"/>
      <c r="J56" s="189"/>
      <c r="K56" s="189"/>
      <c r="L56" s="189"/>
      <c r="M56" s="189"/>
      <c r="N56" s="189"/>
      <c r="O56" s="189"/>
      <c r="P56" s="189"/>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52" ht="14.25" customHeight="1">
      <c r="A57" s="189"/>
      <c r="B57" s="272"/>
      <c r="C57" s="272"/>
      <c r="D57" s="272"/>
      <c r="E57" s="272"/>
      <c r="F57" s="272"/>
      <c r="G57" s="189"/>
      <c r="H57" s="189"/>
      <c r="I57" s="189"/>
      <c r="J57" s="189"/>
      <c r="K57" s="189"/>
      <c r="L57" s="189"/>
      <c r="M57" s="189"/>
      <c r="N57" s="189"/>
      <c r="O57" s="189"/>
      <c r="P57" s="189"/>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row>
    <row r="58" spans="1:52" ht="14.25" customHeight="1">
      <c r="A58" s="189"/>
      <c r="B58" s="272"/>
      <c r="C58" s="272"/>
      <c r="D58" s="272"/>
      <c r="E58" s="272"/>
      <c r="F58" s="272"/>
      <c r="G58" s="189"/>
      <c r="H58" s="189"/>
      <c r="I58" s="189"/>
      <c r="J58" s="189"/>
      <c r="K58" s="189"/>
      <c r="L58" s="189"/>
      <c r="M58" s="189"/>
      <c r="N58" s="189"/>
      <c r="O58" s="189"/>
      <c r="P58" s="189"/>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row>
    <row r="59" spans="1:52" ht="14.25" customHeight="1">
      <c r="A59" s="189"/>
      <c r="B59" s="272"/>
      <c r="C59" s="272"/>
      <c r="D59" s="272"/>
      <c r="E59" s="272"/>
      <c r="F59" s="272"/>
      <c r="G59" s="189"/>
      <c r="H59" s="189"/>
      <c r="I59" s="189"/>
      <c r="J59" s="189"/>
      <c r="K59" s="189"/>
      <c r="L59" s="189"/>
      <c r="M59" s="189"/>
      <c r="N59" s="189"/>
      <c r="O59" s="189"/>
      <c r="P59" s="189"/>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row>
    <row r="60" spans="1:52" ht="14.25" customHeight="1">
      <c r="A60" s="189"/>
      <c r="B60" s="272"/>
      <c r="C60" s="272"/>
      <c r="D60" s="272"/>
      <c r="E60" s="272"/>
      <c r="F60" s="272"/>
      <c r="G60" s="189"/>
      <c r="H60" s="189"/>
      <c r="I60" s="189"/>
      <c r="J60" s="189"/>
      <c r="K60" s="189"/>
      <c r="L60" s="189"/>
      <c r="M60" s="189"/>
      <c r="N60" s="189"/>
      <c r="O60" s="189"/>
      <c r="P60" s="189"/>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row>
    <row r="61" spans="1:52" ht="14.25" customHeight="1">
      <c r="A61" s="189"/>
      <c r="B61" s="272"/>
      <c r="C61" s="272"/>
      <c r="D61" s="272"/>
      <c r="E61" s="272"/>
      <c r="F61" s="272"/>
      <c r="G61" s="189"/>
      <c r="H61" s="189"/>
      <c r="I61" s="189"/>
      <c r="J61" s="189"/>
      <c r="K61" s="189"/>
      <c r="L61" s="189"/>
      <c r="M61" s="189"/>
      <c r="N61" s="189"/>
      <c r="O61" s="189"/>
      <c r="P61" s="189"/>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row>
    <row r="62" spans="1:52" ht="14.25" customHeight="1">
      <c r="A62" s="189"/>
      <c r="B62" s="272"/>
      <c r="C62" s="272"/>
      <c r="D62" s="272"/>
      <c r="E62" s="272"/>
      <c r="F62" s="272"/>
      <c r="G62" s="189"/>
      <c r="H62" s="189"/>
      <c r="I62" s="189"/>
      <c r="J62" s="189"/>
      <c r="K62" s="189"/>
      <c r="L62" s="189"/>
      <c r="M62" s="189"/>
      <c r="N62" s="189"/>
      <c r="O62" s="189"/>
      <c r="P62" s="189"/>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row>
    <row r="63" spans="1:52" ht="14.25" customHeight="1">
      <c r="A63" s="189"/>
      <c r="B63" s="272"/>
      <c r="C63" s="272"/>
      <c r="D63" s="272"/>
      <c r="E63" s="272"/>
      <c r="F63" s="272"/>
      <c r="G63" s="189"/>
      <c r="H63" s="189"/>
      <c r="I63" s="189"/>
      <c r="J63" s="189"/>
      <c r="K63" s="189"/>
      <c r="L63" s="189"/>
      <c r="M63" s="189"/>
      <c r="N63" s="189"/>
      <c r="O63" s="189"/>
      <c r="P63" s="189"/>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row>
    <row r="64" spans="1:52" ht="14.25" customHeight="1">
      <c r="A64" s="189"/>
      <c r="B64" s="272"/>
      <c r="C64" s="272"/>
      <c r="D64" s="272"/>
      <c r="E64" s="272"/>
      <c r="F64" s="272"/>
      <c r="G64" s="189"/>
      <c r="H64" s="189"/>
      <c r="I64" s="189"/>
      <c r="J64" s="189"/>
      <c r="K64" s="189"/>
      <c r="L64" s="189"/>
      <c r="M64" s="189"/>
      <c r="N64" s="189"/>
      <c r="O64" s="189"/>
      <c r="P64" s="189"/>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row>
    <row r="65" spans="1:52" ht="14.25" customHeight="1">
      <c r="A65" s="189"/>
      <c r="B65" s="272"/>
      <c r="C65" s="272"/>
      <c r="D65" s="272"/>
      <c r="E65" s="272"/>
      <c r="F65" s="272"/>
      <c r="G65" s="189"/>
      <c r="H65" s="189"/>
      <c r="I65" s="189"/>
      <c r="J65" s="189"/>
      <c r="K65" s="189"/>
      <c r="L65" s="189"/>
      <c r="M65" s="189"/>
      <c r="N65" s="189"/>
      <c r="O65" s="189"/>
      <c r="P65" s="189"/>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row>
    <row r="66" spans="1:52" ht="14.25" customHeight="1">
      <c r="A66" s="189"/>
      <c r="B66" s="272"/>
      <c r="C66" s="272"/>
      <c r="D66" s="272"/>
      <c r="E66" s="272"/>
      <c r="F66" s="272"/>
      <c r="G66" s="189"/>
      <c r="H66" s="189"/>
      <c r="I66" s="189"/>
      <c r="J66" s="189"/>
      <c r="K66" s="189"/>
      <c r="L66" s="189"/>
      <c r="M66" s="189"/>
      <c r="N66" s="189"/>
      <c r="O66" s="189"/>
      <c r="P66" s="189"/>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row>
    <row r="67" spans="1:52" ht="14.25" customHeight="1">
      <c r="A67" s="189"/>
      <c r="B67" s="272"/>
      <c r="C67" s="272"/>
      <c r="D67" s="272"/>
      <c r="E67" s="272"/>
      <c r="F67" s="272"/>
      <c r="G67" s="189"/>
      <c r="H67" s="189"/>
      <c r="I67" s="189"/>
      <c r="J67" s="189"/>
      <c r="K67" s="189"/>
      <c r="L67" s="189"/>
      <c r="M67" s="189"/>
      <c r="N67" s="189"/>
      <c r="O67" s="189"/>
      <c r="P67" s="189"/>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row>
    <row r="68" spans="1:52" ht="14.25" customHeight="1">
      <c r="A68" s="189"/>
      <c r="B68" s="272"/>
      <c r="C68" s="272"/>
      <c r="D68" s="272"/>
      <c r="E68" s="272"/>
      <c r="F68" s="272"/>
      <c r="G68" s="189"/>
      <c r="H68" s="189"/>
      <c r="I68" s="189"/>
      <c r="J68" s="189"/>
      <c r="K68" s="189"/>
      <c r="L68" s="189"/>
      <c r="M68" s="189"/>
      <c r="N68" s="189"/>
      <c r="O68" s="189"/>
      <c r="P68" s="189"/>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row>
    <row r="69" spans="1:52" ht="14.25" customHeight="1">
      <c r="A69" s="189"/>
      <c r="B69" s="272"/>
      <c r="C69" s="272"/>
      <c r="D69" s="272"/>
      <c r="E69" s="272"/>
      <c r="F69" s="272"/>
      <c r="G69" s="189"/>
      <c r="H69" s="189"/>
      <c r="I69" s="189"/>
      <c r="J69" s="189"/>
      <c r="K69" s="189"/>
      <c r="L69" s="189"/>
      <c r="M69" s="189"/>
      <c r="N69" s="189"/>
      <c r="O69" s="189"/>
      <c r="P69" s="189"/>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row>
    <row r="70" spans="1:52" ht="14.25" customHeight="1">
      <c r="A70" s="189"/>
      <c r="B70" s="272"/>
      <c r="C70" s="272"/>
      <c r="D70" s="272"/>
      <c r="E70" s="272"/>
      <c r="F70" s="272"/>
      <c r="G70" s="189"/>
      <c r="H70" s="189"/>
      <c r="I70" s="189"/>
      <c r="J70" s="189"/>
      <c r="K70" s="189"/>
      <c r="L70" s="189"/>
      <c r="M70" s="189"/>
      <c r="N70" s="189"/>
      <c r="O70" s="189"/>
      <c r="P70" s="189"/>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row>
    <row r="71" spans="1:52" ht="14.25" customHeight="1">
      <c r="A71" s="189"/>
      <c r="B71" s="272"/>
      <c r="C71" s="272"/>
      <c r="D71" s="272"/>
      <c r="E71" s="272"/>
      <c r="F71" s="272"/>
      <c r="G71" s="189"/>
      <c r="H71" s="189"/>
      <c r="I71" s="189"/>
      <c r="J71" s="189"/>
      <c r="K71" s="189"/>
      <c r="L71" s="189"/>
      <c r="M71" s="189"/>
      <c r="N71" s="189"/>
      <c r="O71" s="189"/>
      <c r="P71" s="189"/>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row>
    <row r="72" spans="1:52" ht="14.25" customHeight="1">
      <c r="A72" s="189"/>
      <c r="B72" s="272"/>
      <c r="C72" s="272"/>
      <c r="D72" s="272"/>
      <c r="E72" s="272"/>
      <c r="F72" s="272"/>
      <c r="G72" s="189"/>
      <c r="H72" s="189"/>
      <c r="I72" s="189"/>
      <c r="J72" s="189"/>
      <c r="K72" s="189"/>
      <c r="L72" s="189"/>
      <c r="M72" s="189"/>
      <c r="N72" s="189"/>
      <c r="O72" s="189"/>
      <c r="P72" s="189"/>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row>
    <row r="73" spans="1:52" ht="14.25" customHeight="1">
      <c r="A73" s="189"/>
      <c r="B73" s="272"/>
      <c r="C73" s="272"/>
      <c r="D73" s="272"/>
      <c r="E73" s="272"/>
      <c r="F73" s="272"/>
      <c r="G73" s="189"/>
      <c r="H73" s="189"/>
      <c r="I73" s="189"/>
      <c r="J73" s="189"/>
      <c r="K73" s="189"/>
      <c r="L73" s="189"/>
      <c r="M73" s="189"/>
      <c r="N73" s="189"/>
      <c r="O73" s="189"/>
      <c r="P73" s="189"/>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row>
    <row r="74" spans="1:52" ht="14.25" customHeight="1">
      <c r="A74" s="189"/>
      <c r="B74" s="272"/>
      <c r="C74" s="272"/>
      <c r="D74" s="272"/>
      <c r="E74" s="272"/>
      <c r="F74" s="272"/>
      <c r="G74" s="189"/>
      <c r="H74" s="189"/>
      <c r="I74" s="189"/>
      <c r="J74" s="189"/>
      <c r="K74" s="189"/>
      <c r="L74" s="189"/>
      <c r="M74" s="189"/>
      <c r="N74" s="189"/>
      <c r="O74" s="189"/>
      <c r="P74" s="189"/>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row>
    <row r="75" spans="1:52" ht="14.25" customHeight="1">
      <c r="A75" s="189"/>
      <c r="B75" s="272"/>
      <c r="C75" s="272"/>
      <c r="D75" s="272"/>
      <c r="E75" s="272"/>
      <c r="F75" s="272"/>
      <c r="G75" s="189"/>
      <c r="H75" s="189"/>
      <c r="I75" s="189"/>
      <c r="J75" s="189"/>
      <c r="K75" s="189"/>
      <c r="L75" s="189"/>
      <c r="M75" s="189"/>
      <c r="N75" s="189"/>
      <c r="O75" s="189"/>
      <c r="P75" s="189"/>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row>
    <row r="76" spans="1:52" ht="14.25" customHeight="1">
      <c r="A76" s="189"/>
      <c r="B76" s="272"/>
      <c r="C76" s="272"/>
      <c r="D76" s="272"/>
      <c r="E76" s="272"/>
      <c r="F76" s="272"/>
      <c r="G76" s="189"/>
      <c r="H76" s="189"/>
      <c r="I76" s="189"/>
      <c r="J76" s="189"/>
      <c r="K76" s="189"/>
      <c r="L76" s="189"/>
      <c r="M76" s="189"/>
      <c r="N76" s="189"/>
      <c r="O76" s="189"/>
      <c r="P76" s="189"/>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row>
    <row r="77" spans="1:52" ht="14.25" customHeight="1">
      <c r="A77" s="189"/>
      <c r="B77" s="272"/>
      <c r="C77" s="272"/>
      <c r="D77" s="272"/>
      <c r="E77" s="272"/>
      <c r="F77" s="272"/>
      <c r="G77" s="189"/>
      <c r="H77" s="189"/>
      <c r="I77" s="189"/>
      <c r="J77" s="189"/>
      <c r="K77" s="189"/>
      <c r="L77" s="189"/>
      <c r="M77" s="189"/>
      <c r="N77" s="189"/>
      <c r="O77" s="189"/>
      <c r="P77" s="189"/>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row>
    <row r="78" spans="1:52" ht="14.25" customHeight="1">
      <c r="A78" s="189"/>
      <c r="B78" s="272"/>
      <c r="C78" s="272"/>
      <c r="D78" s="272"/>
      <c r="E78" s="272"/>
      <c r="F78" s="272"/>
      <c r="G78" s="189"/>
      <c r="H78" s="189"/>
      <c r="I78" s="189"/>
      <c r="J78" s="189"/>
      <c r="K78" s="189"/>
      <c r="L78" s="189"/>
      <c r="M78" s="189"/>
      <c r="N78" s="189"/>
      <c r="O78" s="189"/>
      <c r="P78" s="189"/>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row>
    <row r="79" spans="1:52" ht="14.25" customHeight="1">
      <c r="A79" s="189"/>
      <c r="B79" s="272"/>
      <c r="C79" s="272"/>
      <c r="D79" s="272"/>
      <c r="E79" s="272"/>
      <c r="F79" s="272"/>
      <c r="G79" s="189"/>
      <c r="H79" s="189"/>
      <c r="I79" s="189"/>
      <c r="J79" s="189"/>
      <c r="K79" s="189"/>
      <c r="L79" s="189"/>
      <c r="M79" s="189"/>
      <c r="N79" s="189"/>
      <c r="O79" s="189"/>
      <c r="P79" s="189"/>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row>
    <row r="80" spans="1:52" ht="14.25" customHeight="1">
      <c r="A80" s="189"/>
      <c r="B80" s="272"/>
      <c r="C80" s="272"/>
      <c r="D80" s="272"/>
      <c r="E80" s="272"/>
      <c r="F80" s="272"/>
      <c r="G80" s="189"/>
      <c r="H80" s="189"/>
      <c r="I80" s="189"/>
      <c r="J80" s="189"/>
      <c r="K80" s="189"/>
      <c r="L80" s="189"/>
      <c r="M80" s="189"/>
      <c r="N80" s="189"/>
      <c r="O80" s="189"/>
      <c r="P80" s="189"/>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row>
    <row r="81" spans="1:52" ht="14.25" customHeight="1">
      <c r="A81" s="189"/>
      <c r="B81" s="272"/>
      <c r="C81" s="272"/>
      <c r="D81" s="272"/>
      <c r="E81" s="272"/>
      <c r="F81" s="272"/>
      <c r="G81" s="189"/>
      <c r="H81" s="189"/>
      <c r="I81" s="189"/>
      <c r="J81" s="189"/>
      <c r="K81" s="189"/>
      <c r="L81" s="189"/>
      <c r="M81" s="189"/>
      <c r="N81" s="189"/>
      <c r="O81" s="189"/>
      <c r="P81" s="189"/>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row>
    <row r="82" spans="1:52" ht="14.25" customHeight="1">
      <c r="A82" s="189"/>
      <c r="B82" s="272"/>
      <c r="C82" s="272"/>
      <c r="D82" s="272"/>
      <c r="E82" s="272"/>
      <c r="F82" s="272"/>
      <c r="G82" s="189"/>
      <c r="H82" s="189"/>
      <c r="I82" s="189"/>
      <c r="J82" s="189"/>
      <c r="K82" s="189"/>
      <c r="L82" s="189"/>
      <c r="M82" s="189"/>
      <c r="N82" s="189"/>
      <c r="O82" s="189"/>
      <c r="P82" s="189"/>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row>
    <row r="83" spans="1:52" ht="14.25" customHeight="1">
      <c r="A83" s="189"/>
      <c r="B83" s="272"/>
      <c r="C83" s="272"/>
      <c r="D83" s="272"/>
      <c r="E83" s="272"/>
      <c r="F83" s="272"/>
      <c r="G83" s="189"/>
      <c r="H83" s="189"/>
      <c r="I83" s="189"/>
      <c r="J83" s="189"/>
      <c r="K83" s="189"/>
      <c r="L83" s="189"/>
      <c r="M83" s="189"/>
      <c r="N83" s="189"/>
      <c r="O83" s="189"/>
      <c r="P83" s="189"/>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row>
    <row r="84" spans="1:52" ht="14.25" customHeight="1">
      <c r="A84" s="189"/>
      <c r="B84" s="272"/>
      <c r="C84" s="272"/>
      <c r="D84" s="272"/>
      <c r="E84" s="272"/>
      <c r="F84" s="272"/>
      <c r="G84" s="189"/>
      <c r="H84" s="189"/>
      <c r="I84" s="189"/>
      <c r="J84" s="189"/>
      <c r="K84" s="189"/>
      <c r="L84" s="189"/>
      <c r="M84" s="189"/>
      <c r="N84" s="189"/>
      <c r="O84" s="189"/>
      <c r="P84" s="189"/>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row>
    <row r="85" spans="1:52" ht="14.25" customHeight="1">
      <c r="A85" s="189"/>
      <c r="B85" s="272"/>
      <c r="C85" s="272"/>
      <c r="D85" s="272"/>
      <c r="E85" s="272"/>
      <c r="F85" s="272"/>
      <c r="G85" s="189"/>
      <c r="H85" s="189"/>
      <c r="I85" s="189"/>
      <c r="J85" s="189"/>
      <c r="K85" s="189"/>
      <c r="L85" s="189"/>
      <c r="M85" s="189"/>
      <c r="N85" s="189"/>
      <c r="O85" s="189"/>
      <c r="P85" s="189"/>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row>
    <row r="86" spans="1:52" ht="14.25" customHeight="1">
      <c r="A86" s="189"/>
      <c r="B86" s="272"/>
      <c r="C86" s="272"/>
      <c r="D86" s="272"/>
      <c r="E86" s="272"/>
      <c r="F86" s="272"/>
      <c r="G86" s="189"/>
      <c r="H86" s="189"/>
      <c r="I86" s="189"/>
      <c r="J86" s="189"/>
      <c r="K86" s="189"/>
      <c r="L86" s="189"/>
      <c r="M86" s="189"/>
      <c r="N86" s="189"/>
      <c r="O86" s="189"/>
      <c r="P86" s="189"/>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row>
    <row r="87" spans="1:52" ht="14.25" customHeight="1">
      <c r="A87" s="189"/>
      <c r="B87" s="272"/>
      <c r="C87" s="272"/>
      <c r="D87" s="272"/>
      <c r="E87" s="272"/>
      <c r="F87" s="272"/>
      <c r="G87" s="189"/>
      <c r="H87" s="189"/>
      <c r="I87" s="189"/>
      <c r="J87" s="189"/>
      <c r="K87" s="189"/>
      <c r="L87" s="189"/>
      <c r="M87" s="189"/>
      <c r="N87" s="189"/>
      <c r="O87" s="189"/>
      <c r="P87" s="189"/>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row>
    <row r="88" spans="1:52" ht="14.25" customHeight="1">
      <c r="A88" s="189"/>
      <c r="B88" s="272"/>
      <c r="C88" s="272"/>
      <c r="D88" s="272"/>
      <c r="E88" s="272"/>
      <c r="F88" s="272"/>
      <c r="G88" s="189"/>
      <c r="H88" s="189"/>
      <c r="I88" s="189"/>
      <c r="J88" s="189"/>
      <c r="K88" s="189"/>
      <c r="L88" s="189"/>
      <c r="M88" s="189"/>
      <c r="N88" s="189"/>
      <c r="O88" s="189"/>
      <c r="P88" s="189"/>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row>
    <row r="89" spans="1:52" ht="14.25" customHeight="1">
      <c r="A89" s="189"/>
      <c r="B89" s="272"/>
      <c r="C89" s="272"/>
      <c r="D89" s="272"/>
      <c r="E89" s="272"/>
      <c r="F89" s="272"/>
      <c r="G89" s="189"/>
      <c r="H89" s="189"/>
      <c r="I89" s="189"/>
      <c r="J89" s="189"/>
      <c r="K89" s="189"/>
      <c r="L89" s="189"/>
      <c r="M89" s="189"/>
      <c r="N89" s="189"/>
      <c r="O89" s="189"/>
      <c r="P89" s="189"/>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row>
    <row r="90" spans="1:52" ht="14.25" customHeight="1">
      <c r="A90" s="189"/>
      <c r="B90" s="272"/>
      <c r="C90" s="272"/>
      <c r="D90" s="272"/>
      <c r="E90" s="272"/>
      <c r="F90" s="272"/>
      <c r="G90" s="189"/>
      <c r="H90" s="189"/>
      <c r="I90" s="189"/>
      <c r="J90" s="189"/>
      <c r="K90" s="189"/>
      <c r="L90" s="189"/>
      <c r="M90" s="189"/>
      <c r="N90" s="189"/>
      <c r="O90" s="189"/>
      <c r="P90" s="189"/>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row>
    <row r="91" spans="1:52" ht="14.25" customHeight="1">
      <c r="A91" s="189"/>
      <c r="B91" s="272"/>
      <c r="C91" s="272"/>
      <c r="D91" s="272"/>
      <c r="E91" s="272"/>
      <c r="F91" s="272"/>
      <c r="G91" s="189"/>
      <c r="H91" s="189"/>
      <c r="I91" s="189"/>
      <c r="J91" s="189"/>
      <c r="K91" s="189"/>
      <c r="L91" s="189"/>
      <c r="M91" s="189"/>
      <c r="N91" s="189"/>
      <c r="O91" s="189"/>
      <c r="P91" s="189"/>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row>
    <row r="92" spans="1:52" ht="14.25" customHeight="1">
      <c r="A92" s="189"/>
      <c r="B92" s="272"/>
      <c r="C92" s="272"/>
      <c r="D92" s="272"/>
      <c r="E92" s="272"/>
      <c r="F92" s="272"/>
      <c r="G92" s="189"/>
      <c r="H92" s="189"/>
      <c r="I92" s="189"/>
      <c r="J92" s="189"/>
      <c r="K92" s="189"/>
      <c r="L92" s="189"/>
      <c r="M92" s="189"/>
      <c r="N92" s="189"/>
      <c r="O92" s="189"/>
      <c r="P92" s="189"/>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row>
    <row r="93" spans="1:52" ht="14.25" customHeight="1">
      <c r="A93" s="189"/>
      <c r="B93" s="272"/>
      <c r="C93" s="272"/>
      <c r="D93" s="272"/>
      <c r="E93" s="272"/>
      <c r="F93" s="272"/>
      <c r="G93" s="189"/>
      <c r="H93" s="189"/>
      <c r="I93" s="189"/>
      <c r="J93" s="189"/>
      <c r="K93" s="189"/>
      <c r="L93" s="189"/>
      <c r="M93" s="189"/>
      <c r="N93" s="189"/>
      <c r="O93" s="189"/>
      <c r="P93" s="189"/>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row>
    <row r="94" spans="1:52" ht="14.25" customHeight="1">
      <c r="A94" s="189"/>
      <c r="B94" s="272"/>
      <c r="C94" s="272"/>
      <c r="D94" s="272"/>
      <c r="E94" s="272"/>
      <c r="F94" s="272"/>
      <c r="G94" s="189"/>
      <c r="H94" s="189"/>
      <c r="I94" s="189"/>
      <c r="J94" s="189"/>
      <c r="K94" s="189"/>
      <c r="L94" s="189"/>
      <c r="M94" s="189"/>
      <c r="N94" s="189"/>
      <c r="O94" s="189"/>
      <c r="P94" s="189"/>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row>
    <row r="95" spans="1:52" ht="14.25" customHeight="1">
      <c r="A95" s="189"/>
      <c r="B95" s="272"/>
      <c r="C95" s="272"/>
      <c r="D95" s="272"/>
      <c r="E95" s="272"/>
      <c r="F95" s="272"/>
      <c r="G95" s="189"/>
      <c r="H95" s="189"/>
      <c r="I95" s="189"/>
      <c r="J95" s="189"/>
      <c r="K95" s="189"/>
      <c r="L95" s="189"/>
      <c r="M95" s="189"/>
      <c r="N95" s="189"/>
      <c r="O95" s="189"/>
      <c r="P95" s="189"/>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row>
    <row r="96" spans="1:52" ht="14.25" customHeight="1">
      <c r="A96" s="189"/>
      <c r="B96" s="272"/>
      <c r="C96" s="272"/>
      <c r="D96" s="272"/>
      <c r="E96" s="272"/>
      <c r="F96" s="272"/>
      <c r="G96" s="189"/>
      <c r="H96" s="189"/>
      <c r="I96" s="189"/>
      <c r="J96" s="189"/>
      <c r="K96" s="189"/>
      <c r="L96" s="189"/>
      <c r="M96" s="189"/>
      <c r="N96" s="189"/>
      <c r="O96" s="189"/>
      <c r="P96" s="189"/>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row>
    <row r="97" spans="1:52" ht="14.25" customHeight="1">
      <c r="A97" s="189"/>
      <c r="B97" s="272"/>
      <c r="C97" s="272"/>
      <c r="D97" s="272"/>
      <c r="E97" s="272"/>
      <c r="F97" s="272"/>
      <c r="G97" s="189"/>
      <c r="H97" s="189"/>
      <c r="I97" s="189"/>
      <c r="J97" s="189"/>
      <c r="K97" s="189"/>
      <c r="L97" s="189"/>
      <c r="M97" s="189"/>
      <c r="N97" s="189"/>
      <c r="O97" s="189"/>
      <c r="P97" s="189"/>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row>
    <row r="98" spans="1:52" ht="14.25" customHeight="1">
      <c r="A98" s="189"/>
      <c r="B98" s="272"/>
      <c r="C98" s="272"/>
      <c r="D98" s="272"/>
      <c r="E98" s="272"/>
      <c r="F98" s="272"/>
      <c r="G98" s="189"/>
      <c r="H98" s="189"/>
      <c r="I98" s="189"/>
      <c r="J98" s="189"/>
      <c r="K98" s="189"/>
      <c r="L98" s="189"/>
      <c r="M98" s="189"/>
      <c r="N98" s="189"/>
      <c r="O98" s="189"/>
      <c r="P98" s="189"/>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row>
    <row r="99" spans="1:52" ht="14.25" customHeight="1">
      <c r="A99" s="189"/>
      <c r="B99" s="272"/>
      <c r="C99" s="272"/>
      <c r="D99" s="272"/>
      <c r="E99" s="272"/>
      <c r="F99" s="272"/>
      <c r="G99" s="189"/>
      <c r="H99" s="189"/>
      <c r="I99" s="189"/>
      <c r="J99" s="189"/>
      <c r="K99" s="189"/>
      <c r="L99" s="189"/>
      <c r="M99" s="189"/>
      <c r="N99" s="189"/>
      <c r="O99" s="189"/>
      <c r="P99" s="189"/>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row>
    <row r="100" spans="1:52" ht="14.25" customHeight="1">
      <c r="A100" s="189"/>
      <c r="B100" s="272"/>
      <c r="C100" s="272"/>
      <c r="D100" s="272"/>
      <c r="E100" s="272"/>
      <c r="F100" s="272"/>
      <c r="G100" s="189"/>
      <c r="H100" s="189"/>
      <c r="I100" s="189"/>
      <c r="J100" s="189"/>
      <c r="K100" s="189"/>
      <c r="L100" s="189"/>
      <c r="M100" s="189"/>
      <c r="N100" s="189"/>
      <c r="O100" s="189"/>
      <c r="P100" s="189"/>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row>
    <row r="101" spans="1:52" ht="14.25" customHeight="1">
      <c r="A101" s="189"/>
      <c r="B101" s="272"/>
      <c r="C101" s="272"/>
      <c r="D101" s="272"/>
      <c r="E101" s="272"/>
      <c r="F101" s="272"/>
      <c r="G101" s="189"/>
      <c r="H101" s="189"/>
      <c r="I101" s="189"/>
      <c r="J101" s="189"/>
      <c r="K101" s="189"/>
      <c r="L101" s="189"/>
      <c r="M101" s="189"/>
      <c r="N101" s="189"/>
      <c r="O101" s="189"/>
      <c r="P101" s="189"/>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row>
    <row r="102" spans="1:52" ht="14.25" customHeight="1">
      <c r="A102" s="189"/>
      <c r="B102" s="272"/>
      <c r="C102" s="272"/>
      <c r="D102" s="272"/>
      <c r="E102" s="272"/>
      <c r="F102" s="272"/>
      <c r="G102" s="189"/>
      <c r="H102" s="189"/>
      <c r="I102" s="189"/>
      <c r="J102" s="189"/>
      <c r="K102" s="189"/>
      <c r="L102" s="189"/>
      <c r="M102" s="189"/>
      <c r="N102" s="189"/>
      <c r="O102" s="189"/>
      <c r="P102" s="189"/>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row>
    <row r="103" spans="1:52" ht="14.25" customHeight="1">
      <c r="A103" s="189"/>
      <c r="B103" s="272"/>
      <c r="C103" s="272"/>
      <c r="D103" s="272"/>
      <c r="E103" s="272"/>
      <c r="F103" s="272"/>
      <c r="G103" s="189"/>
      <c r="H103" s="189"/>
      <c r="I103" s="189"/>
      <c r="J103" s="189"/>
      <c r="K103" s="189"/>
      <c r="L103" s="189"/>
      <c r="M103" s="189"/>
      <c r="N103" s="189"/>
      <c r="O103" s="189"/>
      <c r="P103" s="189"/>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row>
    <row r="104" spans="1:52" ht="14.25" customHeight="1">
      <c r="A104" s="189"/>
      <c r="B104" s="272"/>
      <c r="C104" s="272"/>
      <c r="D104" s="272"/>
      <c r="E104" s="272"/>
      <c r="F104" s="272"/>
      <c r="G104" s="189"/>
      <c r="H104" s="189"/>
      <c r="I104" s="189"/>
      <c r="J104" s="189"/>
      <c r="K104" s="189"/>
      <c r="L104" s="189"/>
      <c r="M104" s="189"/>
      <c r="N104" s="189"/>
      <c r="O104" s="189"/>
      <c r="P104" s="189"/>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row>
    <row r="105" spans="1:52" ht="14.25" customHeight="1">
      <c r="A105" s="189"/>
      <c r="B105" s="272"/>
      <c r="C105" s="272"/>
      <c r="D105" s="272"/>
      <c r="E105" s="272"/>
      <c r="F105" s="272"/>
      <c r="G105" s="189"/>
      <c r="H105" s="189"/>
      <c r="I105" s="189"/>
      <c r="J105" s="189"/>
      <c r="K105" s="189"/>
      <c r="L105" s="189"/>
      <c r="M105" s="189"/>
      <c r="N105" s="189"/>
      <c r="O105" s="189"/>
      <c r="P105" s="189"/>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row>
    <row r="106" spans="1:52" ht="14.25" customHeight="1">
      <c r="A106" s="189"/>
      <c r="B106" s="272"/>
      <c r="C106" s="272"/>
      <c r="D106" s="272"/>
      <c r="E106" s="272"/>
      <c r="F106" s="272"/>
      <c r="G106" s="189"/>
      <c r="H106" s="189"/>
      <c r="I106" s="189"/>
      <c r="J106" s="189"/>
      <c r="K106" s="189"/>
      <c r="L106" s="189"/>
      <c r="M106" s="189"/>
      <c r="N106" s="189"/>
      <c r="O106" s="189"/>
      <c r="P106" s="189"/>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row>
    <row r="107" spans="1:52" ht="14.25" customHeight="1">
      <c r="A107" s="189"/>
      <c r="B107" s="272"/>
      <c r="C107" s="272"/>
      <c r="D107" s="272"/>
      <c r="E107" s="272"/>
      <c r="F107" s="272"/>
      <c r="G107" s="189"/>
      <c r="H107" s="189"/>
      <c r="I107" s="189"/>
      <c r="J107" s="189"/>
      <c r="K107" s="189"/>
      <c r="L107" s="189"/>
      <c r="M107" s="189"/>
      <c r="N107" s="189"/>
      <c r="O107" s="189"/>
      <c r="P107" s="189"/>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row>
    <row r="108" spans="1:52" ht="14.25" customHeight="1">
      <c r="A108" s="189"/>
      <c r="B108" s="272"/>
      <c r="C108" s="272"/>
      <c r="D108" s="272"/>
      <c r="E108" s="272"/>
      <c r="F108" s="272"/>
      <c r="G108" s="189"/>
      <c r="H108" s="189"/>
      <c r="I108" s="189"/>
      <c r="J108" s="189"/>
      <c r="K108" s="189"/>
      <c r="L108" s="189"/>
      <c r="M108" s="189"/>
      <c r="N108" s="189"/>
      <c r="O108" s="189"/>
      <c r="P108" s="189"/>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row>
    <row r="109" spans="1:52" ht="14.25" customHeight="1">
      <c r="A109" s="189"/>
      <c r="B109" s="272"/>
      <c r="C109" s="272"/>
      <c r="D109" s="272"/>
      <c r="E109" s="272"/>
      <c r="F109" s="272"/>
      <c r="G109" s="189"/>
      <c r="H109" s="189"/>
      <c r="I109" s="189"/>
      <c r="J109" s="189"/>
      <c r="K109" s="189"/>
      <c r="L109" s="189"/>
      <c r="M109" s="189"/>
      <c r="N109" s="189"/>
      <c r="O109" s="189"/>
      <c r="P109" s="189"/>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row>
    <row r="110" spans="1:52" ht="14.25" customHeight="1">
      <c r="A110" s="189"/>
      <c r="B110" s="272"/>
      <c r="C110" s="272"/>
      <c r="D110" s="272"/>
      <c r="E110" s="272"/>
      <c r="F110" s="272"/>
      <c r="G110" s="189"/>
      <c r="H110" s="189"/>
      <c r="I110" s="189"/>
      <c r="J110" s="189"/>
      <c r="K110" s="189"/>
      <c r="L110" s="189"/>
      <c r="M110" s="189"/>
      <c r="N110" s="189"/>
      <c r="O110" s="189"/>
      <c r="P110" s="189"/>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row>
    <row r="111" spans="1:52" ht="14.25" customHeight="1">
      <c r="A111" s="189"/>
      <c r="B111" s="272"/>
      <c r="C111" s="272"/>
      <c r="D111" s="272"/>
      <c r="E111" s="272"/>
      <c r="F111" s="272"/>
      <c r="G111" s="189"/>
      <c r="H111" s="189"/>
      <c r="I111" s="189"/>
      <c r="J111" s="189"/>
      <c r="K111" s="189"/>
      <c r="L111" s="189"/>
      <c r="M111" s="189"/>
      <c r="N111" s="189"/>
      <c r="O111" s="189"/>
      <c r="P111" s="189"/>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row>
    <row r="112" spans="1:52" ht="14.25" customHeight="1">
      <c r="A112" s="189"/>
      <c r="B112" s="272"/>
      <c r="C112" s="272"/>
      <c r="D112" s="272"/>
      <c r="E112" s="272"/>
      <c r="F112" s="272"/>
      <c r="G112" s="189"/>
      <c r="H112" s="189"/>
      <c r="I112" s="189"/>
      <c r="J112" s="189"/>
      <c r="K112" s="189"/>
      <c r="L112" s="189"/>
      <c r="M112" s="189"/>
      <c r="N112" s="189"/>
      <c r="O112" s="189"/>
      <c r="P112" s="189"/>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row>
    <row r="113" spans="1:52" ht="14.25" customHeight="1">
      <c r="A113" s="189"/>
      <c r="B113" s="272"/>
      <c r="C113" s="272"/>
      <c r="D113" s="272"/>
      <c r="E113" s="272"/>
      <c r="F113" s="272"/>
      <c r="G113" s="189"/>
      <c r="H113" s="189"/>
      <c r="I113" s="189"/>
      <c r="J113" s="189"/>
      <c r="K113" s="189"/>
      <c r="L113" s="189"/>
      <c r="M113" s="189"/>
      <c r="N113" s="189"/>
      <c r="O113" s="189"/>
      <c r="P113" s="189"/>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row>
    <row r="114" spans="1:52" ht="14.25" customHeight="1">
      <c r="A114" s="189"/>
      <c r="B114" s="272"/>
      <c r="C114" s="272"/>
      <c r="D114" s="272"/>
      <c r="E114" s="272"/>
      <c r="F114" s="272"/>
      <c r="G114" s="189"/>
      <c r="H114" s="189"/>
      <c r="I114" s="189"/>
      <c r="J114" s="189"/>
      <c r="K114" s="189"/>
      <c r="L114" s="189"/>
      <c r="M114" s="189"/>
      <c r="N114" s="189"/>
      <c r="O114" s="189"/>
      <c r="P114" s="189"/>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row>
    <row r="115" spans="1:52" ht="14.25" customHeight="1">
      <c r="A115" s="189"/>
      <c r="B115" s="272"/>
      <c r="C115" s="272"/>
      <c r="D115" s="272"/>
      <c r="E115" s="272"/>
      <c r="F115" s="272"/>
      <c r="G115" s="189"/>
      <c r="H115" s="189"/>
      <c r="I115" s="189"/>
      <c r="J115" s="189"/>
      <c r="K115" s="189"/>
      <c r="L115" s="189"/>
      <c r="M115" s="189"/>
      <c r="N115" s="189"/>
      <c r="O115" s="189"/>
      <c r="P115" s="189"/>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row>
    <row r="116" spans="1:52" ht="14.25" customHeight="1">
      <c r="A116" s="189"/>
      <c r="B116" s="272"/>
      <c r="C116" s="272"/>
      <c r="D116" s="272"/>
      <c r="E116" s="272"/>
      <c r="F116" s="272"/>
      <c r="G116" s="189"/>
      <c r="H116" s="189"/>
      <c r="I116" s="189"/>
      <c r="J116" s="189"/>
      <c r="K116" s="189"/>
      <c r="L116" s="189"/>
      <c r="M116" s="189"/>
      <c r="N116" s="189"/>
      <c r="O116" s="189"/>
      <c r="P116" s="189"/>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row>
    <row r="117" spans="1:52" ht="14.25" customHeight="1">
      <c r="A117" s="189"/>
      <c r="B117" s="272"/>
      <c r="C117" s="272"/>
      <c r="D117" s="272"/>
      <c r="E117" s="272"/>
      <c r="F117" s="272"/>
      <c r="G117" s="189"/>
      <c r="H117" s="189"/>
      <c r="I117" s="189"/>
      <c r="J117" s="189"/>
      <c r="K117" s="189"/>
      <c r="L117" s="189"/>
      <c r="M117" s="189"/>
      <c r="N117" s="189"/>
      <c r="O117" s="189"/>
      <c r="P117" s="189"/>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row>
    <row r="118" spans="1:52" ht="14.25" customHeight="1">
      <c r="A118" s="189"/>
      <c r="B118" s="272"/>
      <c r="C118" s="272"/>
      <c r="D118" s="272"/>
      <c r="E118" s="272"/>
      <c r="F118" s="272"/>
      <c r="G118" s="189"/>
      <c r="H118" s="189"/>
      <c r="I118" s="189"/>
      <c r="J118" s="189"/>
      <c r="K118" s="189"/>
      <c r="L118" s="189"/>
      <c r="M118" s="189"/>
      <c r="N118" s="189"/>
      <c r="O118" s="189"/>
      <c r="P118" s="189"/>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row>
    <row r="119" spans="1:52" ht="14.25" customHeight="1">
      <c r="A119" s="189"/>
      <c r="B119" s="272"/>
      <c r="C119" s="272"/>
      <c r="D119" s="272"/>
      <c r="E119" s="272"/>
      <c r="F119" s="272"/>
      <c r="G119" s="189"/>
      <c r="H119" s="189"/>
      <c r="I119" s="189"/>
      <c r="J119" s="189"/>
      <c r="K119" s="189"/>
      <c r="L119" s="189"/>
      <c r="M119" s="189"/>
      <c r="N119" s="189"/>
      <c r="O119" s="189"/>
      <c r="P119" s="189"/>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row>
    <row r="120" spans="1:52" ht="14.25" customHeight="1">
      <c r="A120" s="189"/>
      <c r="B120" s="272"/>
      <c r="C120" s="272"/>
      <c r="D120" s="272"/>
      <c r="E120" s="272"/>
      <c r="F120" s="272"/>
      <c r="G120" s="189"/>
      <c r="H120" s="189"/>
      <c r="I120" s="189"/>
      <c r="J120" s="189"/>
      <c r="K120" s="189"/>
      <c r="L120" s="189"/>
      <c r="M120" s="189"/>
      <c r="N120" s="189"/>
      <c r="O120" s="189"/>
      <c r="P120" s="189"/>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row>
    <row r="121" spans="1:52" ht="14.25" customHeight="1">
      <c r="A121" s="189"/>
      <c r="B121" s="272"/>
      <c r="C121" s="272"/>
      <c r="D121" s="272"/>
      <c r="E121" s="272"/>
      <c r="F121" s="272"/>
      <c r="G121" s="189"/>
      <c r="H121" s="189"/>
      <c r="I121" s="189"/>
      <c r="J121" s="189"/>
      <c r="K121" s="189"/>
      <c r="L121" s="189"/>
      <c r="M121" s="189"/>
      <c r="N121" s="189"/>
      <c r="O121" s="189"/>
      <c r="P121" s="189"/>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row>
    <row r="122" spans="1:52" ht="14.25" customHeight="1">
      <c r="A122" s="189"/>
      <c r="B122" s="272"/>
      <c r="C122" s="272"/>
      <c r="D122" s="272"/>
      <c r="E122" s="272"/>
      <c r="F122" s="272"/>
      <c r="G122" s="189"/>
      <c r="H122" s="189"/>
      <c r="I122" s="189"/>
      <c r="J122" s="189"/>
      <c r="K122" s="189"/>
      <c r="L122" s="189"/>
      <c r="M122" s="189"/>
      <c r="N122" s="189"/>
      <c r="O122" s="189"/>
      <c r="P122" s="189"/>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row>
    <row r="123" spans="1:52" ht="14.25" customHeight="1">
      <c r="A123" s="189"/>
      <c r="B123" s="272"/>
      <c r="C123" s="272"/>
      <c r="D123" s="272"/>
      <c r="E123" s="272"/>
      <c r="F123" s="272"/>
      <c r="G123" s="189"/>
      <c r="H123" s="189"/>
      <c r="I123" s="189"/>
      <c r="J123" s="189"/>
      <c r="K123" s="189"/>
      <c r="L123" s="189"/>
      <c r="M123" s="189"/>
      <c r="N123" s="189"/>
      <c r="O123" s="189"/>
      <c r="P123" s="189"/>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row>
    <row r="124" spans="1:52" ht="14.25" customHeight="1">
      <c r="A124" s="189"/>
      <c r="B124" s="272"/>
      <c r="C124" s="272"/>
      <c r="D124" s="272"/>
      <c r="E124" s="272"/>
      <c r="F124" s="272"/>
      <c r="G124" s="189"/>
      <c r="H124" s="189"/>
      <c r="I124" s="189"/>
      <c r="J124" s="189"/>
      <c r="K124" s="189"/>
      <c r="L124" s="189"/>
      <c r="M124" s="189"/>
      <c r="N124" s="189"/>
      <c r="O124" s="189"/>
      <c r="P124" s="189"/>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row>
    <row r="125" spans="1:52" ht="14.25" customHeight="1">
      <c r="A125" s="189"/>
      <c r="B125" s="272"/>
      <c r="C125" s="272"/>
      <c r="D125" s="272"/>
      <c r="E125" s="272"/>
      <c r="F125" s="272"/>
      <c r="G125" s="189"/>
      <c r="H125" s="189"/>
      <c r="I125" s="189"/>
      <c r="J125" s="189"/>
      <c r="K125" s="189"/>
      <c r="L125" s="189"/>
      <c r="M125" s="189"/>
      <c r="N125" s="189"/>
      <c r="O125" s="189"/>
      <c r="P125" s="189"/>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row>
    <row r="126" spans="1:52" ht="14.25" customHeight="1">
      <c r="A126" s="189"/>
      <c r="B126" s="272"/>
      <c r="C126" s="272"/>
      <c r="D126" s="272"/>
      <c r="E126" s="272"/>
      <c r="F126" s="272"/>
      <c r="G126" s="189"/>
      <c r="H126" s="189"/>
      <c r="I126" s="189"/>
      <c r="J126" s="189"/>
      <c r="K126" s="189"/>
      <c r="L126" s="189"/>
      <c r="M126" s="189"/>
      <c r="N126" s="189"/>
      <c r="O126" s="189"/>
      <c r="P126" s="189"/>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row>
    <row r="127" spans="1:52" ht="14.25" customHeight="1">
      <c r="A127" s="189"/>
      <c r="B127" s="272"/>
      <c r="C127" s="272"/>
      <c r="D127" s="272"/>
      <c r="E127" s="272"/>
      <c r="F127" s="272"/>
      <c r="G127" s="189"/>
      <c r="H127" s="189"/>
      <c r="I127" s="189"/>
      <c r="J127" s="189"/>
      <c r="K127" s="189"/>
      <c r="L127" s="189"/>
      <c r="M127" s="189"/>
      <c r="N127" s="189"/>
      <c r="O127" s="189"/>
      <c r="P127" s="189"/>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row>
    <row r="128" spans="1:52" ht="14.25" customHeight="1">
      <c r="A128" s="189"/>
      <c r="B128" s="189"/>
      <c r="C128" s="189"/>
      <c r="D128" s="189"/>
      <c r="E128" s="189"/>
      <c r="F128" s="189"/>
      <c r="G128" s="189"/>
      <c r="H128" s="189"/>
      <c r="I128" s="189"/>
      <c r="J128" s="189"/>
      <c r="K128" s="189"/>
      <c r="L128" s="189"/>
      <c r="M128" s="189"/>
      <c r="N128" s="189"/>
      <c r="O128" s="189"/>
      <c r="P128" s="189"/>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row>
    <row r="129" spans="1:52" ht="14.25" customHeight="1">
      <c r="A129" s="189"/>
      <c r="B129" s="189"/>
      <c r="C129" s="189"/>
      <c r="D129" s="189"/>
      <c r="E129" s="189"/>
      <c r="F129" s="189"/>
      <c r="G129" s="189"/>
      <c r="H129" s="189"/>
      <c r="I129" s="189"/>
      <c r="J129" s="189"/>
      <c r="K129" s="189"/>
      <c r="L129" s="189"/>
      <c r="M129" s="189"/>
      <c r="N129" s="189"/>
      <c r="O129" s="189"/>
      <c r="P129" s="189"/>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row>
    <row r="130" spans="1:52" ht="14.25" customHeight="1">
      <c r="A130" s="189"/>
      <c r="B130" s="189"/>
      <c r="C130" s="189"/>
      <c r="D130" s="189"/>
      <c r="E130" s="189"/>
      <c r="F130" s="189"/>
      <c r="G130" s="189"/>
      <c r="H130" s="189"/>
      <c r="I130" s="189"/>
      <c r="J130" s="189"/>
      <c r="K130" s="189"/>
      <c r="L130" s="189"/>
      <c r="M130" s="189"/>
      <c r="N130" s="189"/>
      <c r="O130" s="189"/>
      <c r="P130" s="189"/>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row>
    <row r="131" spans="1:52" ht="14.25" customHeight="1">
      <c r="A131" s="189"/>
      <c r="B131" s="189"/>
      <c r="C131" s="189"/>
      <c r="D131" s="189"/>
      <c r="E131" s="189"/>
      <c r="F131" s="189"/>
      <c r="G131" s="189"/>
      <c r="H131" s="189"/>
      <c r="I131" s="189"/>
      <c r="J131" s="189"/>
      <c r="K131" s="189"/>
      <c r="L131" s="189"/>
      <c r="M131" s="189"/>
      <c r="N131" s="189"/>
      <c r="O131" s="189"/>
      <c r="P131" s="189"/>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row>
    <row r="132" spans="1:52" ht="14.25" customHeight="1">
      <c r="A132" s="189"/>
      <c r="B132" s="189"/>
      <c r="C132" s="189"/>
      <c r="D132" s="189"/>
      <c r="E132" s="189"/>
      <c r="F132" s="189"/>
      <c r="G132" s="189"/>
      <c r="H132" s="189"/>
      <c r="I132" s="189"/>
      <c r="J132" s="189"/>
      <c r="K132" s="189"/>
      <c r="L132" s="189"/>
      <c r="M132" s="189"/>
      <c r="N132" s="189"/>
      <c r="O132" s="189"/>
      <c r="P132" s="189"/>
      <c r="Q132" s="142"/>
      <c r="R132" s="142"/>
      <c r="S132" s="142"/>
      <c r="T132" s="142"/>
      <c r="U132" s="26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row>
    <row r="133" spans="1:52" ht="14.25" customHeight="1">
      <c r="A133" s="189"/>
      <c r="B133" s="189"/>
      <c r="C133" s="189"/>
      <c r="D133" s="189"/>
      <c r="E133" s="189"/>
      <c r="F133" s="189"/>
      <c r="G133" s="189"/>
      <c r="H133" s="189"/>
      <c r="I133" s="189"/>
      <c r="J133" s="189"/>
      <c r="K133" s="189"/>
      <c r="L133" s="189"/>
      <c r="M133" s="189"/>
      <c r="N133" s="189"/>
      <c r="O133" s="189"/>
      <c r="P133" s="189"/>
      <c r="Q133" s="142"/>
      <c r="R133" s="142"/>
      <c r="S133" s="142"/>
      <c r="T133" s="142"/>
      <c r="U133" s="26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row>
    <row r="134" spans="1:52" ht="14.25" customHeight="1">
      <c r="A134" s="189"/>
      <c r="B134" s="189"/>
      <c r="C134" s="189"/>
      <c r="D134" s="189"/>
      <c r="E134" s="189"/>
      <c r="F134" s="189"/>
      <c r="G134" s="189"/>
      <c r="H134" s="189"/>
      <c r="I134" s="189"/>
      <c r="J134" s="189"/>
      <c r="K134" s="189"/>
      <c r="L134" s="189"/>
      <c r="M134" s="189"/>
      <c r="N134" s="189"/>
      <c r="O134" s="189"/>
      <c r="P134" s="189"/>
      <c r="Q134" s="142"/>
      <c r="R134" s="142"/>
      <c r="S134" s="142"/>
      <c r="T134" s="264"/>
      <c r="U134" s="264"/>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row>
    <row r="135" spans="1:52" ht="14.25" customHeight="1">
      <c r="A135" s="189"/>
      <c r="B135" s="189"/>
      <c r="C135" s="189"/>
      <c r="D135" s="189"/>
      <c r="E135" s="189"/>
      <c r="F135" s="189"/>
      <c r="G135" s="189"/>
      <c r="H135" s="189"/>
      <c r="I135" s="189"/>
      <c r="J135" s="189"/>
      <c r="K135" s="189"/>
      <c r="L135" s="189"/>
      <c r="M135" s="189"/>
      <c r="N135" s="189"/>
      <c r="O135" s="189"/>
      <c r="P135" s="189"/>
      <c r="Q135" s="142"/>
      <c r="R135" s="142"/>
      <c r="S135" s="142"/>
      <c r="T135" s="219"/>
      <c r="U135" s="219"/>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row>
    <row r="136" spans="1:52" ht="14.25" customHeight="1">
      <c r="A136" s="189"/>
      <c r="B136" s="189"/>
      <c r="C136" s="189"/>
      <c r="D136" s="189"/>
      <c r="E136" s="189"/>
      <c r="F136" s="189"/>
      <c r="G136" s="189"/>
      <c r="H136" s="189"/>
      <c r="I136" s="189"/>
      <c r="J136" s="189"/>
      <c r="K136" s="189"/>
      <c r="L136" s="189"/>
      <c r="M136" s="189"/>
      <c r="N136" s="189"/>
      <c r="O136" s="189"/>
      <c r="P136" s="189"/>
      <c r="Q136" s="142"/>
      <c r="R136" s="142"/>
      <c r="S136" s="142"/>
      <c r="T136" s="219"/>
      <c r="U136" s="142"/>
      <c r="V136" s="142"/>
      <c r="W136" s="142"/>
      <c r="X136" s="219"/>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row>
    <row r="137" spans="1:52" ht="14.25" customHeight="1">
      <c r="A137" s="189"/>
      <c r="B137" s="189"/>
      <c r="C137" s="189"/>
      <c r="D137" s="189"/>
      <c r="E137" s="189"/>
      <c r="F137" s="189"/>
      <c r="G137" s="189"/>
      <c r="H137" s="189"/>
      <c r="I137" s="189"/>
      <c r="J137" s="189"/>
      <c r="K137" s="189"/>
      <c r="L137" s="189"/>
      <c r="M137" s="189"/>
      <c r="N137" s="189"/>
      <c r="O137" s="189"/>
      <c r="P137" s="189"/>
      <c r="Q137" s="142"/>
      <c r="R137" s="142"/>
      <c r="S137" s="142"/>
      <c r="T137" s="219"/>
      <c r="U137" s="142"/>
      <c r="V137" s="142"/>
      <c r="W137" s="142"/>
      <c r="X137" s="219"/>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row>
    <row r="138" spans="1:52" ht="14.25" customHeight="1">
      <c r="A138" s="189"/>
      <c r="B138" s="189"/>
      <c r="C138" s="189"/>
      <c r="D138" s="189"/>
      <c r="E138" s="189"/>
      <c r="F138" s="189"/>
      <c r="G138" s="189"/>
      <c r="H138" s="189"/>
      <c r="I138" s="189"/>
      <c r="J138" s="189"/>
      <c r="K138" s="189"/>
      <c r="L138" s="189"/>
      <c r="M138" s="189"/>
      <c r="N138" s="189"/>
      <c r="O138" s="189"/>
      <c r="P138" s="189"/>
      <c r="Q138" s="142"/>
      <c r="R138" s="142"/>
      <c r="S138" s="142"/>
      <c r="T138" s="219"/>
      <c r="U138" s="219"/>
      <c r="V138" s="219"/>
      <c r="W138" s="219"/>
      <c r="X138" s="219"/>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row>
    <row r="139" spans="1:52" ht="14.25" customHeight="1">
      <c r="A139" s="189"/>
      <c r="B139" s="189"/>
      <c r="C139" s="189"/>
      <c r="D139" s="189"/>
      <c r="E139" s="189"/>
      <c r="F139" s="189"/>
      <c r="G139" s="189"/>
      <c r="H139" s="189"/>
      <c r="I139" s="189"/>
      <c r="J139" s="189"/>
      <c r="K139" s="189"/>
      <c r="L139" s="189"/>
      <c r="M139" s="189"/>
      <c r="N139" s="189"/>
      <c r="O139" s="189"/>
      <c r="P139" s="189"/>
      <c r="Q139" s="142"/>
      <c r="R139" s="142"/>
      <c r="S139" s="142"/>
      <c r="T139" s="219"/>
      <c r="U139" s="219"/>
      <c r="V139" s="219"/>
      <c r="W139" s="219"/>
      <c r="X139" s="219"/>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row>
    <row r="140" spans="1:52" ht="14.25" customHeight="1">
      <c r="A140" s="189"/>
      <c r="B140" s="189"/>
      <c r="C140" s="189"/>
      <c r="D140" s="189"/>
      <c r="E140" s="189"/>
      <c r="F140" s="189"/>
      <c r="G140" s="189"/>
      <c r="H140" s="189"/>
      <c r="I140" s="189"/>
      <c r="J140" s="189"/>
      <c r="K140" s="189"/>
      <c r="L140" s="189"/>
      <c r="M140" s="189"/>
      <c r="N140" s="189"/>
      <c r="O140" s="189"/>
      <c r="P140" s="189"/>
      <c r="Q140" s="142"/>
      <c r="R140" s="142"/>
      <c r="S140" s="142"/>
      <c r="T140" s="142"/>
      <c r="U140" s="142"/>
      <c r="V140" s="142"/>
      <c r="W140" s="219"/>
      <c r="X140" s="142"/>
      <c r="Y140" s="142"/>
      <c r="Z140" s="142"/>
      <c r="AA140" s="142"/>
      <c r="AB140" s="268"/>
      <c r="AC140" s="268"/>
      <c r="AD140" s="268"/>
      <c r="AE140" s="268"/>
      <c r="AF140" s="268"/>
      <c r="AG140" s="269"/>
      <c r="AH140" s="240"/>
      <c r="AI140" s="269"/>
      <c r="AJ140" s="142"/>
      <c r="AK140" s="142"/>
      <c r="AL140" s="142"/>
      <c r="AM140" s="142"/>
      <c r="AN140" s="142"/>
      <c r="AO140" s="142"/>
      <c r="AP140" s="142"/>
      <c r="AQ140" s="142"/>
      <c r="AR140" s="142"/>
      <c r="AS140" s="142"/>
      <c r="AT140" s="142"/>
      <c r="AU140" s="142"/>
      <c r="AV140" s="142"/>
      <c r="AW140" s="142"/>
      <c r="AX140" s="142"/>
      <c r="AY140" s="142"/>
      <c r="AZ140" s="142"/>
    </row>
    <row r="141" spans="1:52" ht="14.25" customHeight="1">
      <c r="A141" s="189"/>
      <c r="B141" s="189"/>
      <c r="C141" s="189"/>
      <c r="D141" s="189"/>
      <c r="E141" s="189"/>
      <c r="F141" s="189"/>
      <c r="G141" s="189"/>
      <c r="H141" s="189"/>
      <c r="I141" s="189"/>
      <c r="J141" s="189"/>
      <c r="K141" s="189"/>
      <c r="L141" s="189"/>
      <c r="M141" s="189"/>
      <c r="N141" s="189"/>
      <c r="O141" s="189"/>
      <c r="P141" s="189"/>
      <c r="Q141" s="142"/>
      <c r="R141" s="142"/>
      <c r="S141" s="142"/>
      <c r="T141" s="142"/>
      <c r="U141" s="142"/>
      <c r="V141" s="142"/>
      <c r="W141" s="219"/>
      <c r="X141" s="142"/>
      <c r="Y141" s="142"/>
      <c r="Z141" s="142"/>
      <c r="AA141" s="142"/>
      <c r="AB141" s="268"/>
      <c r="AC141" s="268"/>
      <c r="AD141" s="268"/>
      <c r="AE141" s="268"/>
      <c r="AF141" s="268"/>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row>
    <row r="142" spans="1:52" ht="14.25" customHeight="1">
      <c r="A142" s="189"/>
      <c r="B142" s="189"/>
      <c r="C142" s="189"/>
      <c r="D142" s="189"/>
      <c r="E142" s="189"/>
      <c r="F142" s="189"/>
      <c r="G142" s="189"/>
      <c r="H142" s="189"/>
      <c r="I142" s="189"/>
      <c r="J142" s="189"/>
      <c r="K142" s="189"/>
      <c r="L142" s="189"/>
      <c r="M142" s="189"/>
      <c r="N142" s="189"/>
      <c r="O142" s="189"/>
      <c r="P142" s="189"/>
      <c r="Q142" s="142"/>
      <c r="R142" s="142"/>
      <c r="S142" s="142"/>
      <c r="T142" s="142"/>
      <c r="U142" s="142"/>
      <c r="V142" s="142"/>
      <c r="W142" s="142"/>
      <c r="X142" s="142"/>
      <c r="Y142" s="142"/>
      <c r="Z142" s="142"/>
      <c r="AA142" s="142"/>
      <c r="AB142" s="270"/>
      <c r="AC142" s="270"/>
      <c r="AD142" s="270"/>
      <c r="AE142" s="264"/>
      <c r="AF142" s="264"/>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row>
    <row r="143" spans="1:52" ht="14.25" customHeight="1">
      <c r="A143" s="189"/>
      <c r="B143" s="189"/>
      <c r="C143" s="189"/>
      <c r="D143" s="189"/>
      <c r="E143" s="189"/>
      <c r="F143" s="189"/>
      <c r="G143" s="189"/>
      <c r="H143" s="189"/>
      <c r="I143" s="189"/>
      <c r="J143" s="189"/>
      <c r="K143" s="189"/>
      <c r="L143" s="189"/>
      <c r="M143" s="189"/>
      <c r="N143" s="189"/>
      <c r="O143" s="189"/>
      <c r="P143" s="189"/>
      <c r="Q143" s="142"/>
      <c r="R143" s="142"/>
      <c r="S143" s="142"/>
      <c r="T143" s="142"/>
      <c r="U143" s="142"/>
      <c r="V143" s="142"/>
      <c r="W143" s="142"/>
      <c r="X143" s="142"/>
      <c r="Y143" s="142"/>
      <c r="Z143" s="142"/>
      <c r="AA143" s="142"/>
      <c r="AB143" s="270"/>
      <c r="AC143" s="270"/>
      <c r="AD143" s="270"/>
      <c r="AE143" s="271"/>
      <c r="AF143" s="271"/>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row>
    <row r="144" spans="1:52" ht="14.25" customHeight="1">
      <c r="A144" s="189"/>
      <c r="B144" s="189"/>
      <c r="C144" s="189"/>
      <c r="D144" s="189"/>
      <c r="E144" s="189"/>
      <c r="F144" s="189"/>
      <c r="G144" s="189"/>
      <c r="H144" s="189"/>
      <c r="I144" s="189"/>
      <c r="J144" s="189"/>
      <c r="K144" s="189"/>
      <c r="L144" s="189"/>
      <c r="M144" s="189"/>
      <c r="N144" s="189"/>
      <c r="O144" s="189"/>
      <c r="P144" s="189"/>
      <c r="Q144" s="142"/>
      <c r="R144" s="142"/>
      <c r="S144" s="142"/>
      <c r="T144" s="142"/>
      <c r="U144" s="142"/>
      <c r="V144" s="142"/>
      <c r="W144" s="142"/>
      <c r="X144" s="142"/>
      <c r="Y144" s="142"/>
      <c r="Z144" s="142"/>
      <c r="AA144" s="142"/>
      <c r="AB144" s="270"/>
      <c r="AC144" s="270"/>
      <c r="AD144" s="270"/>
      <c r="AE144" s="271"/>
      <c r="AF144" s="271"/>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row>
    <row r="145" spans="1:52" ht="14.25" customHeight="1">
      <c r="A145" s="189"/>
      <c r="B145" s="189"/>
      <c r="C145" s="189"/>
      <c r="D145" s="189"/>
      <c r="E145" s="189"/>
      <c r="F145" s="189"/>
      <c r="G145" s="189"/>
      <c r="H145" s="189"/>
      <c r="I145" s="189"/>
      <c r="J145" s="189"/>
      <c r="K145" s="189"/>
      <c r="L145" s="189"/>
      <c r="M145" s="189"/>
      <c r="N145" s="189"/>
      <c r="O145" s="189"/>
      <c r="P145" s="189"/>
      <c r="Q145" s="142"/>
      <c r="R145" s="142"/>
      <c r="S145" s="142"/>
      <c r="T145" s="142"/>
      <c r="U145" s="142"/>
      <c r="V145" s="142"/>
      <c r="W145" s="142"/>
      <c r="X145" s="142"/>
      <c r="Y145" s="142"/>
      <c r="Z145" s="142"/>
      <c r="AA145" s="142"/>
      <c r="AB145" s="270"/>
      <c r="AC145" s="270"/>
      <c r="AD145" s="270"/>
      <c r="AE145" s="271"/>
      <c r="AF145" s="271"/>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row>
    <row r="146" spans="1:52" ht="14.25" customHeight="1">
      <c r="A146" s="189"/>
      <c r="B146" s="189"/>
      <c r="C146" s="189"/>
      <c r="D146" s="189"/>
      <c r="E146" s="189"/>
      <c r="F146" s="189"/>
      <c r="G146" s="189"/>
      <c r="H146" s="189"/>
      <c r="I146" s="189"/>
      <c r="J146" s="189"/>
      <c r="K146" s="189"/>
      <c r="L146" s="189"/>
      <c r="M146" s="189"/>
      <c r="N146" s="189"/>
      <c r="O146" s="189"/>
      <c r="P146" s="189"/>
      <c r="Q146" s="142"/>
      <c r="R146" s="142"/>
      <c r="S146" s="142"/>
      <c r="T146" s="142"/>
      <c r="U146" s="142"/>
      <c r="V146" s="142"/>
      <c r="W146" s="142"/>
      <c r="X146" s="142"/>
      <c r="Y146" s="142"/>
      <c r="Z146" s="142"/>
      <c r="AA146" s="142"/>
      <c r="AB146" s="241"/>
      <c r="AC146" s="241"/>
      <c r="AD146" s="241"/>
      <c r="AE146" s="262"/>
      <c r="AF146" s="26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row>
    <row r="147" spans="1:52" ht="14.25" customHeight="1">
      <c r="A147" s="189"/>
      <c r="B147" s="189"/>
      <c r="C147" s="189"/>
      <c r="D147" s="189"/>
      <c r="E147" s="189"/>
      <c r="F147" s="189"/>
      <c r="G147" s="189"/>
      <c r="H147" s="189"/>
      <c r="I147" s="189"/>
      <c r="J147" s="189"/>
      <c r="K147" s="189"/>
      <c r="L147" s="189"/>
      <c r="M147" s="189"/>
      <c r="N147" s="189"/>
      <c r="O147" s="189"/>
      <c r="P147" s="189"/>
      <c r="Q147" s="142"/>
      <c r="R147" s="142"/>
      <c r="S147" s="142"/>
      <c r="T147" s="142"/>
      <c r="U147" s="142"/>
      <c r="V147" s="142"/>
      <c r="W147" s="142"/>
      <c r="X147" s="142"/>
      <c r="Y147" s="142"/>
      <c r="Z147" s="142"/>
      <c r="AA147" s="142"/>
      <c r="AB147" s="241"/>
      <c r="AC147" s="241"/>
      <c r="AD147" s="241"/>
      <c r="AE147" s="262"/>
      <c r="AF147" s="26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row>
    <row r="148" spans="1:52" ht="14.25" customHeight="1">
      <c r="A148" s="189"/>
      <c r="B148" s="189"/>
      <c r="C148" s="189"/>
      <c r="D148" s="189"/>
      <c r="E148" s="189"/>
      <c r="F148" s="189"/>
      <c r="G148" s="189"/>
      <c r="H148" s="189"/>
      <c r="I148" s="189"/>
      <c r="J148" s="189"/>
      <c r="K148" s="189"/>
      <c r="L148" s="189"/>
      <c r="M148" s="189"/>
      <c r="N148" s="189"/>
      <c r="O148" s="189"/>
      <c r="P148" s="189"/>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row>
    <row r="149" spans="1:52" ht="14.25" customHeight="1">
      <c r="A149" s="189"/>
      <c r="B149" s="189"/>
      <c r="C149" s="189"/>
      <c r="D149" s="189"/>
      <c r="E149" s="189"/>
      <c r="F149" s="189"/>
      <c r="G149" s="189"/>
      <c r="H149" s="189"/>
      <c r="I149" s="189"/>
      <c r="J149" s="189"/>
      <c r="K149" s="189"/>
      <c r="L149" s="189"/>
      <c r="M149" s="189"/>
      <c r="N149" s="189"/>
      <c r="O149" s="189"/>
      <c r="P149" s="189"/>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row>
    <row r="150" spans="1:52" ht="14.25" customHeight="1">
      <c r="A150" s="189"/>
      <c r="B150" s="189"/>
      <c r="C150" s="189"/>
      <c r="D150" s="189"/>
      <c r="E150" s="189"/>
      <c r="F150" s="189"/>
      <c r="G150" s="189"/>
      <c r="H150" s="189"/>
      <c r="I150" s="189"/>
      <c r="J150" s="189"/>
      <c r="K150" s="189"/>
      <c r="L150" s="189"/>
      <c r="M150" s="189"/>
      <c r="N150" s="189"/>
      <c r="O150" s="189"/>
      <c r="P150" s="189"/>
      <c r="Q150" s="142"/>
      <c r="R150" s="142"/>
      <c r="S150" s="142"/>
      <c r="T150" s="273"/>
      <c r="U150" s="273"/>
      <c r="V150" s="273"/>
      <c r="W150" s="273"/>
      <c r="X150" s="273"/>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row>
    <row r="151" spans="1:52" ht="14.25" customHeight="1">
      <c r="T151" s="221"/>
      <c r="U151" s="221"/>
      <c r="V151" s="221"/>
      <c r="W151" s="221"/>
      <c r="X151" s="221"/>
      <c r="AY151" s="221"/>
      <c r="AZ151" s="221"/>
    </row>
  </sheetData>
  <sheetProtection algorithmName="SHA-512" hashValue="37hwY2hJWE3+LQ+iShJ1r7wQgKxf1TudHH+O1Zb3WUpgP2wZFxdnJZetX7L34LQwMbJUoNY+Z2VgRCA44ZD/4g==" saltValue="jStVilgKsyCaZxY0KIC/Rg==" spinCount="100000" sheet="1" autoFilter="0"/>
  <mergeCells count="22">
    <mergeCell ref="F4:F5"/>
    <mergeCell ref="G4:G5"/>
    <mergeCell ref="H4:H5"/>
    <mergeCell ref="A4:A5"/>
    <mergeCell ref="B4:B5"/>
    <mergeCell ref="E4:E5"/>
    <mergeCell ref="C4:C5"/>
    <mergeCell ref="D4:D5"/>
    <mergeCell ref="O4:O5"/>
    <mergeCell ref="J17:L17"/>
    <mergeCell ref="Q4:Q5"/>
    <mergeCell ref="R4:R5"/>
    <mergeCell ref="S4:S5"/>
    <mergeCell ref="R12:S12"/>
    <mergeCell ref="R13:S13"/>
    <mergeCell ref="R11:S11"/>
    <mergeCell ref="J4:J5"/>
    <mergeCell ref="K4:K5"/>
    <mergeCell ref="L4:L5"/>
    <mergeCell ref="M4:M5"/>
    <mergeCell ref="N4:N5"/>
    <mergeCell ref="Q10:S10"/>
  </mergeCells>
  <conditionalFormatting sqref="J6:O16">
    <cfRule type="expression" dxfId="58" priority="5">
      <formula>OR($G$7="Wales", $G$7="Scotland", $G$7="Northern Ireland")</formula>
    </cfRule>
    <cfRule type="expression" dxfId="57" priority="6">
      <formula>AND($G$8="NO", $G$7="England")</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E914-9C57-4277-A128-344B9995C6C4}">
  <dimension ref="A1:AZ151"/>
  <sheetViews>
    <sheetView zoomScale="85" zoomScaleNormal="85" workbookViewId="0">
      <selection activeCell="B5" sqref="B5"/>
    </sheetView>
  </sheetViews>
  <sheetFormatPr defaultRowHeight="14.45"/>
  <cols>
    <col min="2" max="2" width="120.5703125" customWidth="1"/>
    <col min="4" max="4" width="42.7109375" bestFit="1" customWidth="1"/>
    <col min="5" max="10" width="16.7109375" customWidth="1"/>
    <col min="12" max="13" width="16.85546875" customWidth="1"/>
    <col min="15" max="16" width="30.85546875" customWidth="1"/>
    <col min="18" max="18" width="16.85546875" customWidth="1"/>
    <col min="19" max="19" width="110.85546875" customWidth="1"/>
  </cols>
  <sheetData>
    <row r="1" spans="1:52" ht="18">
      <c r="A1" s="118" t="s">
        <v>184</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row>
    <row r="2" spans="1:52" ht="18">
      <c r="A2" s="142"/>
      <c r="B2" s="118"/>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row>
    <row r="3" spans="1:52" ht="16.5" customHeight="1">
      <c r="A3" s="129" t="s">
        <v>12</v>
      </c>
      <c r="B3" s="142"/>
      <c r="C3" s="142"/>
      <c r="D3" s="129" t="s">
        <v>185</v>
      </c>
      <c r="E3" s="142"/>
      <c r="F3" s="142"/>
      <c r="G3" s="142"/>
      <c r="H3" s="142"/>
      <c r="I3" s="142"/>
      <c r="J3" s="142"/>
      <c r="K3" s="142"/>
      <c r="L3" s="129" t="s">
        <v>186</v>
      </c>
      <c r="M3" s="142"/>
      <c r="N3" s="142"/>
      <c r="O3" s="129" t="s">
        <v>187</v>
      </c>
      <c r="P3" s="142"/>
      <c r="Q3" s="142"/>
      <c r="R3" s="129" t="s">
        <v>188</v>
      </c>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row>
    <row r="4" spans="1:52" ht="90" customHeight="1">
      <c r="A4" s="128" t="s">
        <v>13</v>
      </c>
      <c r="B4" s="167" t="s">
        <v>189</v>
      </c>
      <c r="C4" s="122"/>
      <c r="D4" s="170" t="s">
        <v>115</v>
      </c>
      <c r="E4" s="171" t="s">
        <v>190</v>
      </c>
      <c r="F4" s="171" t="s">
        <v>191</v>
      </c>
      <c r="G4" s="171" t="s">
        <v>116</v>
      </c>
      <c r="H4" s="171" t="s">
        <v>192</v>
      </c>
      <c r="I4" s="171" t="s">
        <v>193</v>
      </c>
      <c r="J4" s="171" t="s">
        <v>194</v>
      </c>
      <c r="K4" s="122"/>
      <c r="L4" s="171" t="s">
        <v>195</v>
      </c>
      <c r="M4" s="171" t="s">
        <v>196</v>
      </c>
      <c r="N4" s="122"/>
      <c r="O4" s="171" t="s">
        <v>197</v>
      </c>
      <c r="P4" s="171" t="s">
        <v>196</v>
      </c>
      <c r="Q4" s="122"/>
      <c r="R4" s="171" t="s">
        <v>198</v>
      </c>
      <c r="S4" s="171" t="s">
        <v>196</v>
      </c>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row>
    <row r="5" spans="1:52" ht="90" customHeight="1">
      <c r="A5" s="128" t="s">
        <v>13</v>
      </c>
      <c r="B5" s="167" t="s">
        <v>199</v>
      </c>
      <c r="C5" s="122"/>
      <c r="D5" s="168" t="s">
        <v>200</v>
      </c>
      <c r="E5" s="169" t="s">
        <v>201</v>
      </c>
      <c r="F5" s="169">
        <v>20.76</v>
      </c>
      <c r="G5" s="169" t="s">
        <v>202</v>
      </c>
      <c r="H5" s="169" t="s">
        <v>203</v>
      </c>
      <c r="I5" s="169" t="s">
        <v>204</v>
      </c>
      <c r="J5" s="169" t="s">
        <v>205</v>
      </c>
      <c r="K5" s="122"/>
      <c r="L5" s="169" t="s">
        <v>206</v>
      </c>
      <c r="M5" s="169" t="s">
        <v>207</v>
      </c>
      <c r="N5" s="122"/>
      <c r="O5" s="169" t="s">
        <v>208</v>
      </c>
      <c r="P5" s="169" t="s">
        <v>209</v>
      </c>
      <c r="Q5" s="122"/>
      <c r="R5" s="169" t="s">
        <v>210</v>
      </c>
      <c r="S5" s="169" t="s">
        <v>211</v>
      </c>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row>
    <row r="6" spans="1:52" ht="90" customHeight="1">
      <c r="A6" s="128" t="s">
        <v>13</v>
      </c>
      <c r="B6" s="167" t="s">
        <v>212</v>
      </c>
      <c r="C6" s="122"/>
      <c r="D6" s="168" t="s">
        <v>213</v>
      </c>
      <c r="E6" s="169" t="s">
        <v>214</v>
      </c>
      <c r="F6" s="169">
        <v>72</v>
      </c>
      <c r="G6" s="169" t="s">
        <v>215</v>
      </c>
      <c r="H6" s="169" t="s">
        <v>216</v>
      </c>
      <c r="I6" s="169" t="s">
        <v>204</v>
      </c>
      <c r="J6" s="169" t="s">
        <v>205</v>
      </c>
      <c r="K6" s="122"/>
      <c r="L6" s="169" t="s">
        <v>150</v>
      </c>
      <c r="M6" s="169" t="s">
        <v>217</v>
      </c>
      <c r="N6" s="122"/>
      <c r="O6" s="169" t="s">
        <v>151</v>
      </c>
      <c r="P6" s="169" t="s">
        <v>209</v>
      </c>
      <c r="Q6" s="122"/>
      <c r="R6" s="169" t="s">
        <v>218</v>
      </c>
      <c r="S6" s="169" t="s">
        <v>219</v>
      </c>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row>
    <row r="7" spans="1:52" ht="90" customHeight="1">
      <c r="A7" s="142"/>
      <c r="B7" s="142"/>
      <c r="C7" s="122"/>
      <c r="D7" s="168" t="s">
        <v>220</v>
      </c>
      <c r="E7" s="169" t="s">
        <v>221</v>
      </c>
      <c r="F7" s="169">
        <v>40</v>
      </c>
      <c r="G7" s="169" t="s">
        <v>222</v>
      </c>
      <c r="H7" s="169" t="s">
        <v>223</v>
      </c>
      <c r="I7" s="169" t="s">
        <v>204</v>
      </c>
      <c r="J7" s="169" t="s">
        <v>224</v>
      </c>
      <c r="K7" s="122"/>
      <c r="L7" s="169" t="s">
        <v>151</v>
      </c>
      <c r="M7" s="169" t="s">
        <v>225</v>
      </c>
      <c r="N7" s="122"/>
      <c r="O7" s="169" t="s">
        <v>152</v>
      </c>
      <c r="P7" s="169" t="s">
        <v>226</v>
      </c>
      <c r="Q7" s="122"/>
      <c r="R7" s="169" t="s">
        <v>227</v>
      </c>
      <c r="S7" s="169" t="s">
        <v>228</v>
      </c>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row>
    <row r="8" spans="1:52" ht="90" customHeight="1">
      <c r="A8" s="142"/>
      <c r="B8" s="122"/>
      <c r="C8" s="122"/>
      <c r="D8" s="168" t="s">
        <v>229</v>
      </c>
      <c r="E8" s="169" t="s">
        <v>201</v>
      </c>
      <c r="F8" s="169">
        <v>20.76</v>
      </c>
      <c r="G8" s="169" t="s">
        <v>202</v>
      </c>
      <c r="H8" s="169" t="s">
        <v>203</v>
      </c>
      <c r="I8" s="169" t="s">
        <v>204</v>
      </c>
      <c r="J8" s="169" t="s">
        <v>205</v>
      </c>
      <c r="K8" s="122"/>
      <c r="L8" s="169" t="s">
        <v>152</v>
      </c>
      <c r="M8" s="169" t="s">
        <v>230</v>
      </c>
      <c r="N8" s="122"/>
      <c r="O8" s="169" t="s">
        <v>154</v>
      </c>
      <c r="P8" s="169" t="s">
        <v>231</v>
      </c>
      <c r="Q8" s="122"/>
      <c r="R8" s="169" t="s">
        <v>232</v>
      </c>
      <c r="S8" s="169" t="s">
        <v>233</v>
      </c>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row>
    <row r="9" spans="1:52" ht="90" customHeight="1">
      <c r="A9" s="142"/>
      <c r="B9" s="122"/>
      <c r="C9" s="122"/>
      <c r="D9" s="168" t="s">
        <v>130</v>
      </c>
      <c r="E9" s="169" t="s">
        <v>234</v>
      </c>
      <c r="F9" s="169">
        <v>750</v>
      </c>
      <c r="G9" s="169" t="s">
        <v>131</v>
      </c>
      <c r="H9" s="169" t="s">
        <v>235</v>
      </c>
      <c r="I9" s="169" t="s">
        <v>204</v>
      </c>
      <c r="J9" s="169" t="s">
        <v>224</v>
      </c>
      <c r="K9" s="122"/>
      <c r="L9" s="169" t="s">
        <v>236</v>
      </c>
      <c r="M9" s="169" t="s">
        <v>237</v>
      </c>
      <c r="N9" s="122"/>
      <c r="O9" s="122"/>
      <c r="P9" s="122"/>
      <c r="Q9" s="122"/>
      <c r="R9" s="169" t="s">
        <v>238</v>
      </c>
      <c r="S9" s="169" t="s">
        <v>239</v>
      </c>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row>
    <row r="10" spans="1:52" ht="90" customHeight="1">
      <c r="A10" s="142"/>
      <c r="B10" s="122"/>
      <c r="C10" s="122"/>
      <c r="D10" s="168" t="s">
        <v>240</v>
      </c>
      <c r="E10" s="169" t="s">
        <v>214</v>
      </c>
      <c r="F10" s="169">
        <v>72</v>
      </c>
      <c r="G10" s="169" t="s">
        <v>215</v>
      </c>
      <c r="H10" s="169" t="s">
        <v>216</v>
      </c>
      <c r="I10" s="169" t="s">
        <v>204</v>
      </c>
      <c r="J10" s="169" t="s">
        <v>205</v>
      </c>
      <c r="K10" s="122"/>
      <c r="L10" s="169" t="s">
        <v>154</v>
      </c>
      <c r="M10" s="169" t="s">
        <v>241</v>
      </c>
      <c r="N10" s="122"/>
      <c r="O10" s="122"/>
      <c r="P10" s="122"/>
      <c r="Q10" s="122"/>
      <c r="R10" s="169" t="s">
        <v>242</v>
      </c>
      <c r="S10" s="169" t="s">
        <v>243</v>
      </c>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row>
    <row r="11" spans="1:52" ht="90" customHeight="1">
      <c r="A11" s="142"/>
      <c r="B11" s="122"/>
      <c r="C11" s="122"/>
      <c r="D11" s="168" t="s">
        <v>244</v>
      </c>
      <c r="E11" s="169" t="s">
        <v>245</v>
      </c>
      <c r="F11" s="169">
        <v>9</v>
      </c>
      <c r="G11" s="169" t="s">
        <v>202</v>
      </c>
      <c r="H11" s="169" t="s">
        <v>246</v>
      </c>
      <c r="I11" s="169" t="s">
        <v>204</v>
      </c>
      <c r="J11" s="169" t="s">
        <v>205</v>
      </c>
      <c r="K11" s="122"/>
      <c r="L11" s="122"/>
      <c r="M11" s="122"/>
      <c r="N11" s="122"/>
      <c r="O11" s="122"/>
      <c r="P11" s="122"/>
      <c r="Q11" s="122"/>
      <c r="R11" s="169" t="s">
        <v>247</v>
      </c>
      <c r="S11" s="169" t="s">
        <v>248</v>
      </c>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row>
    <row r="12" spans="1:52" ht="90" customHeight="1">
      <c r="A12" s="142"/>
      <c r="B12" s="122"/>
      <c r="C12" s="122"/>
      <c r="D12" s="168" t="s">
        <v>249</v>
      </c>
      <c r="E12" s="169" t="s">
        <v>221</v>
      </c>
      <c r="F12" s="169">
        <v>34</v>
      </c>
      <c r="G12" s="169" t="s">
        <v>222</v>
      </c>
      <c r="H12" s="169" t="s">
        <v>223</v>
      </c>
      <c r="I12" s="169" t="s">
        <v>204</v>
      </c>
      <c r="J12" s="169" t="s">
        <v>224</v>
      </c>
      <c r="K12" s="122"/>
      <c r="L12" s="122"/>
      <c r="M12" s="122"/>
      <c r="N12" s="122"/>
      <c r="O12" s="122"/>
      <c r="P12" s="122"/>
      <c r="Q12" s="122"/>
      <c r="R12" s="169" t="s">
        <v>250</v>
      </c>
      <c r="S12" s="169" t="s">
        <v>251</v>
      </c>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row>
    <row r="13" spans="1:52" ht="90" customHeight="1">
      <c r="A13" s="142"/>
      <c r="B13" s="122"/>
      <c r="C13" s="122"/>
      <c r="D13" s="168" t="s">
        <v>252</v>
      </c>
      <c r="E13" s="169" t="s">
        <v>253</v>
      </c>
      <c r="F13" s="169">
        <v>0.15</v>
      </c>
      <c r="G13" s="169" t="s">
        <v>254</v>
      </c>
      <c r="H13" s="169" t="s">
        <v>255</v>
      </c>
      <c r="I13" s="169" t="s">
        <v>256</v>
      </c>
      <c r="J13" s="169" t="s">
        <v>205</v>
      </c>
      <c r="K13" s="122"/>
      <c r="L13" s="122"/>
      <c r="M13" s="122"/>
      <c r="N13" s="122"/>
      <c r="O13" s="122"/>
      <c r="P13" s="122"/>
      <c r="Q13" s="122"/>
      <c r="R13" s="122"/>
      <c r="S13" s="12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row>
    <row r="14" spans="1:52" ht="90" customHeight="1">
      <c r="A14" s="142"/>
      <c r="B14" s="122"/>
      <c r="C14" s="122"/>
      <c r="D14" s="168" t="s">
        <v>257</v>
      </c>
      <c r="E14" s="169" t="s">
        <v>258</v>
      </c>
      <c r="F14" s="169">
        <v>200000</v>
      </c>
      <c r="G14" s="169" t="s">
        <v>259</v>
      </c>
      <c r="H14" s="169" t="s">
        <v>260</v>
      </c>
      <c r="I14" s="169" t="s">
        <v>204</v>
      </c>
      <c r="J14" s="169" t="s">
        <v>224</v>
      </c>
      <c r="K14" s="122"/>
      <c r="L14" s="122"/>
      <c r="M14" s="122"/>
      <c r="N14" s="122"/>
      <c r="O14" s="122"/>
      <c r="P14" s="122"/>
      <c r="Q14" s="122"/>
      <c r="R14" s="122"/>
      <c r="S14" s="12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row>
    <row r="15" spans="1:52" ht="90" customHeight="1">
      <c r="A15" s="142"/>
      <c r="B15" s="122"/>
      <c r="C15" s="122"/>
      <c r="D15" s="168" t="s">
        <v>261</v>
      </c>
      <c r="E15" s="169" t="s">
        <v>245</v>
      </c>
      <c r="F15" s="169">
        <v>5838</v>
      </c>
      <c r="G15" s="169" t="s">
        <v>259</v>
      </c>
      <c r="H15" s="169" t="s">
        <v>262</v>
      </c>
      <c r="I15" s="169" t="s">
        <v>204</v>
      </c>
      <c r="J15" s="169" t="s">
        <v>205</v>
      </c>
      <c r="K15" s="122"/>
      <c r="L15" s="122"/>
      <c r="M15" s="122"/>
      <c r="N15" s="122"/>
      <c r="O15" s="122"/>
      <c r="P15" s="122"/>
      <c r="Q15" s="122"/>
      <c r="R15" s="122"/>
      <c r="S15" s="12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row>
    <row r="16" spans="1:52" ht="90" customHeight="1">
      <c r="A16" s="142"/>
      <c r="B16" s="122"/>
      <c r="C16" s="122"/>
      <c r="D16" s="168" t="s">
        <v>263</v>
      </c>
      <c r="E16" s="169" t="s">
        <v>258</v>
      </c>
      <c r="F16" s="169">
        <v>200000</v>
      </c>
      <c r="G16" s="169" t="s">
        <v>259</v>
      </c>
      <c r="H16" s="169" t="s">
        <v>264</v>
      </c>
      <c r="I16" s="169" t="s">
        <v>204</v>
      </c>
      <c r="J16" s="169" t="s">
        <v>224</v>
      </c>
      <c r="K16" s="122"/>
      <c r="L16" s="122"/>
      <c r="M16" s="122"/>
      <c r="N16" s="122"/>
      <c r="O16" s="122"/>
      <c r="P16" s="122"/>
      <c r="Q16" s="122"/>
      <c r="R16" s="122"/>
      <c r="S16" s="12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row>
    <row r="17" spans="1:52" ht="90" customHeight="1">
      <c r="A17" s="142"/>
      <c r="B17" s="122"/>
      <c r="C17" s="122"/>
      <c r="D17" s="168" t="s">
        <v>265</v>
      </c>
      <c r="E17" s="169" t="s">
        <v>266</v>
      </c>
      <c r="F17" s="169" t="s">
        <v>267</v>
      </c>
      <c r="G17" s="169" t="s">
        <v>259</v>
      </c>
      <c r="H17" s="169" t="s">
        <v>235</v>
      </c>
      <c r="I17" s="169" t="s">
        <v>204</v>
      </c>
      <c r="J17" s="169" t="s">
        <v>224</v>
      </c>
      <c r="K17" s="122"/>
      <c r="L17" s="122"/>
      <c r="M17" s="122"/>
      <c r="N17" s="122"/>
      <c r="O17" s="122"/>
      <c r="P17" s="122"/>
      <c r="Q17" s="122"/>
      <c r="R17" s="122"/>
      <c r="S17" s="12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row>
    <row r="18" spans="1:52">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row>
    <row r="19" spans="1:52">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row>
    <row r="20" spans="1:52">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row>
    <row r="21" spans="1:52">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row>
    <row r="22" spans="1:52">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row>
    <row r="23" spans="1:52">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row>
    <row r="24" spans="1:52">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row>
    <row r="25" spans="1:52">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row>
    <row r="26" spans="1:52">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row>
    <row r="27" spans="1:52">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row>
    <row r="28" spans="1:52">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row>
    <row r="29" spans="1:52">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row>
    <row r="30" spans="1:52">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row>
    <row r="31" spans="1:52">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row>
    <row r="32" spans="1:52">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row>
    <row r="33" spans="1:52">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row>
    <row r="34" spans="1:52">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row>
    <row r="35" spans="1:52">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row>
    <row r="36" spans="1:52">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row>
    <row r="37" spans="1:52">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row>
    <row r="38" spans="1:52">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row>
    <row r="39" spans="1:52">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row>
    <row r="40" spans="1:52">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row>
    <row r="41" spans="1:52">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row>
    <row r="42" spans="1:52">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row>
    <row r="43" spans="1:52">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row>
    <row r="44" spans="1:52">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row>
    <row r="45" spans="1:52">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row>
    <row r="46" spans="1:52">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row>
    <row r="47" spans="1:52">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row>
    <row r="48" spans="1:52">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row>
    <row r="49" spans="1:52">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row>
    <row r="50" spans="1:52">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row>
    <row r="51" spans="1:52">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row>
    <row r="52" spans="1:52">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row>
    <row r="53" spans="1:52">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row>
    <row r="54" spans="1:52">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row>
    <row r="55" spans="1:52">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row>
    <row r="56" spans="1:52">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52">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row>
    <row r="58" spans="1:52">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row>
    <row r="59" spans="1:52">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row>
    <row r="60" spans="1:52">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row>
    <row r="61" spans="1:52">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row>
    <row r="62" spans="1:52">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row>
    <row r="63" spans="1:52">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row>
    <row r="64" spans="1:52">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row>
    <row r="65" spans="1:52">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row>
    <row r="66" spans="1:52">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row>
    <row r="67" spans="1:52">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row>
    <row r="68" spans="1:52">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row>
    <row r="69" spans="1:52">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row>
    <row r="70" spans="1:52">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row>
    <row r="71" spans="1:52">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row>
    <row r="72" spans="1:52">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row>
    <row r="73" spans="1:52">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row>
    <row r="74" spans="1:52">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row>
    <row r="75" spans="1:52">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row>
    <row r="76" spans="1:52">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row>
    <row r="77" spans="1:52">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row>
    <row r="78" spans="1:52">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row>
    <row r="79" spans="1:52">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row>
    <row r="80" spans="1:52">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row>
    <row r="81" spans="1:52">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row>
    <row r="82" spans="1:52">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row>
    <row r="83" spans="1:52">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row>
    <row r="84" spans="1:52">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row>
    <row r="85" spans="1:52">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row>
    <row r="86" spans="1:52">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row>
    <row r="87" spans="1:52">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row>
    <row r="88" spans="1:52">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row>
    <row r="89" spans="1:52">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row>
    <row r="90" spans="1:52">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row>
    <row r="91" spans="1:52">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row>
    <row r="92" spans="1:52">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row>
    <row r="93" spans="1:52">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row>
    <row r="94" spans="1:52">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row>
    <row r="95" spans="1:52">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row>
    <row r="96" spans="1:52">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row>
    <row r="97" spans="1:52">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row>
    <row r="98" spans="1:52">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row>
    <row r="99" spans="1:52">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row>
    <row r="100" spans="1:52">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row>
    <row r="101" spans="1:52">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row>
    <row r="102" spans="1:52">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row>
    <row r="103" spans="1:52">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row>
    <row r="104" spans="1:52">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row>
    <row r="105" spans="1:52">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row>
    <row r="106" spans="1:52">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row>
    <row r="107" spans="1:52">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row>
    <row r="108" spans="1:52">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row>
    <row r="109" spans="1:52">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row>
    <row r="110" spans="1:52">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row>
    <row r="111" spans="1:52">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row>
    <row r="112" spans="1:5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row>
    <row r="113" spans="1:5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row>
    <row r="114" spans="1:5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row>
    <row r="115" spans="1:5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row>
    <row r="116" spans="1:5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row>
    <row r="117" spans="1:52">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row>
    <row r="118" spans="1:52">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row>
    <row r="119" spans="1:52">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row>
    <row r="120" spans="1:52">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row>
    <row r="121" spans="1:52">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row>
    <row r="122" spans="1:52">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row>
    <row r="123" spans="1:52">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row>
    <row r="124" spans="1:52">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row>
    <row r="125" spans="1:52">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row>
    <row r="126" spans="1:52">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row>
    <row r="127" spans="1:52">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row>
    <row r="128" spans="1:52">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row>
    <row r="129" spans="1:52">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row>
    <row r="130" spans="1:52">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row>
    <row r="131" spans="1:52">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row>
    <row r="132" spans="1:52">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row>
    <row r="133" spans="1:52">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row>
    <row r="134" spans="1:52">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row>
    <row r="135" spans="1:52">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row>
    <row r="136" spans="1:52">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row>
    <row r="137" spans="1:52">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row>
    <row r="138" spans="1:52">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row>
    <row r="139" spans="1:52">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row>
    <row r="140" spans="1:52">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row>
    <row r="141" spans="1:52">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row>
    <row r="142" spans="1:52">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row>
    <row r="143" spans="1:52">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row>
    <row r="144" spans="1:52">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row>
    <row r="145" spans="1:52">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row>
    <row r="146" spans="1:52">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row>
    <row r="147" spans="1:52">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row>
    <row r="148" spans="1:52">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row>
    <row r="149" spans="1:52">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row>
    <row r="150" spans="1:52">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row>
    <row r="151" spans="1:52">
      <c r="M151" s="142"/>
      <c r="R151" s="142"/>
      <c r="S151" s="142"/>
    </row>
  </sheetData>
  <sheetProtection algorithmName="SHA-512" hashValue="C270jawEcyHkevPV8C0rg7uR/p3kvRFad09tl06n49Fyg+T74Qag/T0UocrzjOc9GWMN/r8dQ/ENcaZZQR+Rgg==" saltValue="qjyrgE3nsS1SxOFDREREaQ==" spinCount="100000" sheet="1" autoFilter="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C916-B97E-40CA-A749-4218153E294D}">
  <dimension ref="A1:AZ150"/>
  <sheetViews>
    <sheetView zoomScale="85" zoomScaleNormal="85" workbookViewId="0"/>
  </sheetViews>
  <sheetFormatPr defaultRowHeight="14.45"/>
  <cols>
    <col min="1" max="1" width="14.5703125" style="5" customWidth="1"/>
    <col min="2" max="2" width="30" style="158" customWidth="1"/>
    <col min="3" max="3" width="26.5703125" style="159" customWidth="1"/>
    <col min="4" max="4" width="36.42578125" style="158" customWidth="1"/>
    <col min="5" max="5" width="26.140625" style="159" customWidth="1"/>
    <col min="6" max="6" width="32.7109375" style="160" customWidth="1"/>
    <col min="24" max="24" width="29.42578125" bestFit="1" customWidth="1"/>
    <col min="25" max="25" width="14.85546875" bestFit="1" customWidth="1"/>
    <col min="27" max="27" width="30" customWidth="1"/>
    <col min="28" max="28" width="26.28515625" bestFit="1" customWidth="1"/>
    <col min="30" max="30" width="15.42578125" bestFit="1" customWidth="1"/>
  </cols>
  <sheetData>
    <row r="1" spans="1:52" ht="18">
      <c r="A1" s="118" t="s">
        <v>268</v>
      </c>
      <c r="B1" s="138"/>
      <c r="C1" s="139"/>
      <c r="D1" s="138"/>
      <c r="E1" s="140"/>
      <c r="F1" s="141"/>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row>
    <row r="2" spans="1:52">
      <c r="A2" s="143"/>
      <c r="B2" s="144"/>
      <c r="C2" s="145"/>
      <c r="D2" s="144"/>
      <c r="E2" s="145"/>
      <c r="F2" s="146"/>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row>
    <row r="3" spans="1:52" s="148" customFormat="1" ht="29.1">
      <c r="A3" s="161" t="s">
        <v>269</v>
      </c>
      <c r="B3" s="162" t="s">
        <v>270</v>
      </c>
      <c r="C3" s="163" t="s">
        <v>271</v>
      </c>
      <c r="D3" s="162" t="s">
        <v>272</v>
      </c>
      <c r="E3" s="163" t="s">
        <v>273</v>
      </c>
      <c r="F3" s="163" t="s">
        <v>274</v>
      </c>
      <c r="G3" s="147"/>
      <c r="H3" s="147"/>
      <c r="I3" s="147"/>
      <c r="J3" s="147"/>
      <c r="K3" s="147"/>
      <c r="L3" s="147"/>
      <c r="M3" s="147"/>
      <c r="N3" s="147"/>
      <c r="O3" s="147"/>
      <c r="P3" s="147"/>
      <c r="Q3" s="147"/>
      <c r="R3" s="147"/>
      <c r="S3" s="147"/>
      <c r="T3" s="147"/>
      <c r="U3" s="147"/>
      <c r="V3" s="147"/>
      <c r="W3" s="147"/>
      <c r="X3" s="149" t="s">
        <v>275</v>
      </c>
      <c r="Y3" s="149" t="s">
        <v>276</v>
      </c>
      <c r="Z3" s="147"/>
      <c r="AA3" s="150" t="s">
        <v>277</v>
      </c>
      <c r="AB3" s="150" t="s">
        <v>278</v>
      </c>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row>
    <row r="4" spans="1:52">
      <c r="A4" s="151" t="s">
        <v>89</v>
      </c>
      <c r="B4" s="152" t="s">
        <v>85</v>
      </c>
      <c r="C4" s="153">
        <f>17.72*5</f>
        <v>88.6</v>
      </c>
      <c r="D4" s="152" t="s">
        <v>86</v>
      </c>
      <c r="E4" s="153">
        <f>3.42*5</f>
        <v>17.100000000000001</v>
      </c>
      <c r="F4" s="154">
        <f>C4-E4</f>
        <v>71.5</v>
      </c>
      <c r="G4" s="142"/>
      <c r="H4" s="142"/>
      <c r="I4" s="142"/>
      <c r="J4" s="142"/>
      <c r="K4" s="142"/>
      <c r="L4" s="142"/>
      <c r="M4" s="142"/>
      <c r="N4" s="142"/>
      <c r="O4" s="142"/>
      <c r="P4" s="142"/>
      <c r="Q4" s="142"/>
      <c r="R4" s="142"/>
      <c r="S4" s="142"/>
      <c r="T4" s="142"/>
      <c r="U4" s="142"/>
      <c r="V4" s="142"/>
      <c r="W4" s="142"/>
      <c r="X4" s="155" t="s">
        <v>85</v>
      </c>
      <c r="Y4" s="155">
        <v>17.72</v>
      </c>
      <c r="Z4" s="142"/>
      <c r="AA4" s="155" t="s">
        <v>85</v>
      </c>
      <c r="AB4" s="155" t="s">
        <v>86</v>
      </c>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row>
    <row r="5" spans="1:52">
      <c r="A5" s="151" t="s">
        <v>93</v>
      </c>
      <c r="B5" s="152" t="s">
        <v>85</v>
      </c>
      <c r="C5" s="153">
        <f>$C$4+C4</f>
        <v>177.2</v>
      </c>
      <c r="D5" s="152" t="s">
        <v>86</v>
      </c>
      <c r="E5" s="153">
        <f>$E$4+E4</f>
        <v>34.200000000000003</v>
      </c>
      <c r="F5" s="154">
        <f t="shared" ref="F5:F68" si="0">C5-E5</f>
        <v>143</v>
      </c>
      <c r="G5" s="142"/>
      <c r="H5" s="142"/>
      <c r="I5" s="142"/>
      <c r="J5" s="142"/>
      <c r="K5" s="142"/>
      <c r="L5" s="142"/>
      <c r="M5" s="142"/>
      <c r="N5" s="142"/>
      <c r="O5" s="142"/>
      <c r="P5" s="142"/>
      <c r="Q5" s="142"/>
      <c r="R5" s="142"/>
      <c r="S5" s="142"/>
      <c r="T5" s="142"/>
      <c r="U5" s="142"/>
      <c r="V5" s="142"/>
      <c r="W5" s="142"/>
      <c r="X5" s="155" t="s">
        <v>88</v>
      </c>
      <c r="Y5" s="155">
        <v>17.72</v>
      </c>
      <c r="Z5" s="142"/>
      <c r="AA5" s="155" t="s">
        <v>88</v>
      </c>
      <c r="AB5" s="155" t="s">
        <v>86</v>
      </c>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row>
    <row r="6" spans="1:52">
      <c r="A6" s="151" t="s">
        <v>95</v>
      </c>
      <c r="B6" s="152" t="s">
        <v>85</v>
      </c>
      <c r="C6" s="153">
        <f>$C$4+C5</f>
        <v>265.79999999999995</v>
      </c>
      <c r="D6" s="152" t="s">
        <v>86</v>
      </c>
      <c r="E6" s="153">
        <f t="shared" ref="E6:E23" si="1">$E$4+E5</f>
        <v>51.300000000000004</v>
      </c>
      <c r="F6" s="154">
        <f t="shared" si="0"/>
        <v>214.49999999999994</v>
      </c>
      <c r="G6" s="142"/>
      <c r="H6" s="142"/>
      <c r="I6" s="142"/>
      <c r="J6" s="142"/>
      <c r="K6" s="142"/>
      <c r="L6" s="142"/>
      <c r="M6" s="142"/>
      <c r="N6" s="142"/>
      <c r="O6" s="142"/>
      <c r="P6" s="142"/>
      <c r="Q6" s="142"/>
      <c r="R6" s="142"/>
      <c r="S6" s="142"/>
      <c r="T6" s="142"/>
      <c r="U6" s="142"/>
      <c r="V6" s="142"/>
      <c r="W6" s="142"/>
      <c r="X6" s="155" t="s">
        <v>279</v>
      </c>
      <c r="Y6" s="155">
        <v>3.32</v>
      </c>
      <c r="Z6" s="142"/>
      <c r="AA6" s="155" t="s">
        <v>279</v>
      </c>
      <c r="AB6" s="155" t="s">
        <v>92</v>
      </c>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row>
    <row r="7" spans="1:52">
      <c r="A7" s="151" t="s">
        <v>96</v>
      </c>
      <c r="B7" s="152" t="s">
        <v>85</v>
      </c>
      <c r="C7" s="153">
        <f t="shared" ref="C7:C23" si="2">$C$4+C6</f>
        <v>354.4</v>
      </c>
      <c r="D7" s="152" t="s">
        <v>86</v>
      </c>
      <c r="E7" s="153">
        <f t="shared" si="1"/>
        <v>68.400000000000006</v>
      </c>
      <c r="F7" s="154">
        <f t="shared" si="0"/>
        <v>286</v>
      </c>
      <c r="G7" s="142"/>
      <c r="H7" s="142"/>
      <c r="I7" s="142"/>
      <c r="J7" s="142"/>
      <c r="K7" s="142"/>
      <c r="L7" s="142"/>
      <c r="M7" s="142"/>
      <c r="N7" s="142"/>
      <c r="O7" s="142"/>
      <c r="P7" s="142"/>
      <c r="Q7" s="142"/>
      <c r="R7" s="142"/>
      <c r="S7" s="142"/>
      <c r="T7" s="142"/>
      <c r="U7" s="142"/>
      <c r="V7" s="142"/>
      <c r="W7" s="142"/>
      <c r="X7" s="155" t="s">
        <v>91</v>
      </c>
      <c r="Y7" s="155">
        <v>2.5099999999999998</v>
      </c>
      <c r="Z7" s="142"/>
      <c r="AA7" s="155" t="s">
        <v>91</v>
      </c>
      <c r="AB7" s="155" t="s">
        <v>92</v>
      </c>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row>
    <row r="8" spans="1:52">
      <c r="A8" s="151" t="s">
        <v>97</v>
      </c>
      <c r="B8" s="152" t="s">
        <v>85</v>
      </c>
      <c r="C8" s="153">
        <f t="shared" si="2"/>
        <v>443</v>
      </c>
      <c r="D8" s="152" t="s">
        <v>86</v>
      </c>
      <c r="E8" s="153">
        <f t="shared" si="1"/>
        <v>85.5</v>
      </c>
      <c r="F8" s="154">
        <f t="shared" si="0"/>
        <v>357.5</v>
      </c>
      <c r="G8" s="142"/>
      <c r="H8" s="142"/>
      <c r="I8" s="142"/>
      <c r="J8" s="142"/>
      <c r="K8" s="142"/>
      <c r="L8" s="142"/>
      <c r="M8" s="142"/>
      <c r="N8" s="142"/>
      <c r="O8" s="142"/>
      <c r="P8" s="142"/>
      <c r="Q8" s="142"/>
      <c r="R8" s="142"/>
      <c r="S8" s="142"/>
      <c r="T8" s="142"/>
      <c r="U8" s="142"/>
      <c r="V8" s="142"/>
      <c r="W8" s="142"/>
      <c r="X8" s="155" t="s">
        <v>280</v>
      </c>
      <c r="Y8" s="155">
        <v>2.5099999999999998</v>
      </c>
      <c r="Z8" s="142"/>
      <c r="AA8" s="155"/>
      <c r="AB8" s="155"/>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row>
    <row r="9" spans="1:52">
      <c r="A9" s="151" t="s">
        <v>98</v>
      </c>
      <c r="B9" s="152" t="s">
        <v>85</v>
      </c>
      <c r="C9" s="153">
        <f t="shared" si="2"/>
        <v>531.6</v>
      </c>
      <c r="D9" s="152" t="s">
        <v>86</v>
      </c>
      <c r="E9" s="153">
        <f t="shared" si="1"/>
        <v>102.6</v>
      </c>
      <c r="F9" s="154">
        <f t="shared" si="0"/>
        <v>429</v>
      </c>
      <c r="G9" s="142"/>
      <c r="H9" s="142"/>
      <c r="I9" s="142"/>
      <c r="J9" s="142"/>
      <c r="K9" s="142"/>
      <c r="L9" s="142"/>
      <c r="M9" s="142"/>
      <c r="N9" s="142"/>
      <c r="O9" s="142"/>
      <c r="P9" s="142"/>
      <c r="Q9" s="142"/>
      <c r="R9" s="142"/>
      <c r="S9" s="142"/>
      <c r="T9" s="142"/>
      <c r="U9" s="142"/>
      <c r="V9" s="142"/>
      <c r="W9" s="142"/>
      <c r="X9" s="155" t="s">
        <v>281</v>
      </c>
      <c r="Y9" s="155">
        <v>0.32</v>
      </c>
      <c r="Z9" s="142"/>
      <c r="AA9" s="155"/>
      <c r="AB9" s="155"/>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row>
    <row r="10" spans="1:52">
      <c r="A10" s="151" t="s">
        <v>99</v>
      </c>
      <c r="B10" s="152" t="s">
        <v>85</v>
      </c>
      <c r="C10" s="153">
        <f t="shared" si="2"/>
        <v>620.20000000000005</v>
      </c>
      <c r="D10" s="152" t="s">
        <v>86</v>
      </c>
      <c r="E10" s="153">
        <f t="shared" si="1"/>
        <v>119.69999999999999</v>
      </c>
      <c r="F10" s="154">
        <f t="shared" si="0"/>
        <v>500.50000000000006</v>
      </c>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row>
    <row r="11" spans="1:52">
      <c r="A11" s="151" t="s">
        <v>100</v>
      </c>
      <c r="B11" s="152" t="s">
        <v>85</v>
      </c>
      <c r="C11" s="153">
        <f t="shared" si="2"/>
        <v>708.80000000000007</v>
      </c>
      <c r="D11" s="152" t="s">
        <v>86</v>
      </c>
      <c r="E11" s="153">
        <f t="shared" si="1"/>
        <v>136.79999999999998</v>
      </c>
      <c r="F11" s="154">
        <f t="shared" si="0"/>
        <v>572.00000000000011</v>
      </c>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row>
    <row r="12" spans="1:52">
      <c r="A12" s="151" t="s">
        <v>101</v>
      </c>
      <c r="B12" s="152" t="s">
        <v>85</v>
      </c>
      <c r="C12" s="153">
        <f t="shared" si="2"/>
        <v>797.40000000000009</v>
      </c>
      <c r="D12" s="152" t="s">
        <v>86</v>
      </c>
      <c r="E12" s="153">
        <f t="shared" si="1"/>
        <v>153.89999999999998</v>
      </c>
      <c r="F12" s="154">
        <f t="shared" si="0"/>
        <v>643.50000000000011</v>
      </c>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row>
    <row r="13" spans="1:52">
      <c r="A13" s="151" t="s">
        <v>103</v>
      </c>
      <c r="B13" s="152" t="s">
        <v>85</v>
      </c>
      <c r="C13" s="153">
        <f t="shared" si="2"/>
        <v>886.00000000000011</v>
      </c>
      <c r="D13" s="152" t="s">
        <v>86</v>
      </c>
      <c r="E13" s="153">
        <f t="shared" si="1"/>
        <v>170.99999999999997</v>
      </c>
      <c r="F13" s="154">
        <f t="shared" si="0"/>
        <v>715.00000000000011</v>
      </c>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row>
    <row r="14" spans="1:52">
      <c r="A14" s="151" t="s">
        <v>104</v>
      </c>
      <c r="B14" s="152" t="s">
        <v>85</v>
      </c>
      <c r="C14" s="153">
        <f t="shared" si="2"/>
        <v>974.60000000000014</v>
      </c>
      <c r="D14" s="152" t="s">
        <v>86</v>
      </c>
      <c r="E14" s="153">
        <f t="shared" si="1"/>
        <v>188.09999999999997</v>
      </c>
      <c r="F14" s="154">
        <f t="shared" si="0"/>
        <v>786.50000000000023</v>
      </c>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row>
    <row r="15" spans="1:52">
      <c r="A15" s="151" t="s">
        <v>105</v>
      </c>
      <c r="B15" s="152" t="s">
        <v>85</v>
      </c>
      <c r="C15" s="153">
        <f t="shared" si="2"/>
        <v>1063.2</v>
      </c>
      <c r="D15" s="152" t="s">
        <v>86</v>
      </c>
      <c r="E15" s="153">
        <f t="shared" si="1"/>
        <v>205.19999999999996</v>
      </c>
      <c r="F15" s="154">
        <f t="shared" si="0"/>
        <v>858.00000000000011</v>
      </c>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row>
    <row r="16" spans="1:52">
      <c r="A16" s="151" t="s">
        <v>106</v>
      </c>
      <c r="B16" s="152" t="s">
        <v>85</v>
      </c>
      <c r="C16" s="153">
        <f t="shared" si="2"/>
        <v>1151.8</v>
      </c>
      <c r="D16" s="152" t="s">
        <v>86</v>
      </c>
      <c r="E16" s="153">
        <f t="shared" si="1"/>
        <v>222.29999999999995</v>
      </c>
      <c r="F16" s="154">
        <f t="shared" si="0"/>
        <v>929.5</v>
      </c>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row>
    <row r="17" spans="1:52">
      <c r="A17" s="151" t="s">
        <v>107</v>
      </c>
      <c r="B17" s="152" t="s">
        <v>85</v>
      </c>
      <c r="C17" s="153">
        <f t="shared" si="2"/>
        <v>1240.3999999999999</v>
      </c>
      <c r="D17" s="152" t="s">
        <v>86</v>
      </c>
      <c r="E17" s="153">
        <f t="shared" si="1"/>
        <v>239.39999999999995</v>
      </c>
      <c r="F17" s="154">
        <f t="shared" si="0"/>
        <v>1000.9999999999999</v>
      </c>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row>
    <row r="18" spans="1:52">
      <c r="A18" s="151" t="s">
        <v>108</v>
      </c>
      <c r="B18" s="152" t="s">
        <v>85</v>
      </c>
      <c r="C18" s="153">
        <f t="shared" si="2"/>
        <v>1328.9999999999998</v>
      </c>
      <c r="D18" s="152" t="s">
        <v>86</v>
      </c>
      <c r="E18" s="153">
        <f t="shared" si="1"/>
        <v>256.49999999999994</v>
      </c>
      <c r="F18" s="154">
        <f t="shared" si="0"/>
        <v>1072.4999999999998</v>
      </c>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row>
    <row r="19" spans="1:52">
      <c r="A19" s="151" t="s">
        <v>109</v>
      </c>
      <c r="B19" s="152" t="s">
        <v>85</v>
      </c>
      <c r="C19" s="153">
        <f t="shared" si="2"/>
        <v>1417.5999999999997</v>
      </c>
      <c r="D19" s="152" t="s">
        <v>86</v>
      </c>
      <c r="E19" s="153">
        <f t="shared" si="1"/>
        <v>273.59999999999997</v>
      </c>
      <c r="F19" s="154">
        <f t="shared" si="0"/>
        <v>1143.9999999999998</v>
      </c>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row>
    <row r="20" spans="1:52">
      <c r="A20" s="151" t="s">
        <v>110</v>
      </c>
      <c r="B20" s="152" t="s">
        <v>85</v>
      </c>
      <c r="C20" s="153">
        <f t="shared" si="2"/>
        <v>1506.1999999999996</v>
      </c>
      <c r="D20" s="152" t="s">
        <v>86</v>
      </c>
      <c r="E20" s="153">
        <f>$E$4+E19</f>
        <v>290.7</v>
      </c>
      <c r="F20" s="154">
        <f t="shared" si="0"/>
        <v>1215.4999999999995</v>
      </c>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row>
    <row r="21" spans="1:52">
      <c r="A21" s="151" t="s">
        <v>111</v>
      </c>
      <c r="B21" s="152" t="s">
        <v>85</v>
      </c>
      <c r="C21" s="153">
        <f t="shared" si="2"/>
        <v>1594.7999999999995</v>
      </c>
      <c r="D21" s="152" t="s">
        <v>86</v>
      </c>
      <c r="E21" s="153">
        <f t="shared" si="1"/>
        <v>307.8</v>
      </c>
      <c r="F21" s="154">
        <f t="shared" si="0"/>
        <v>1286.9999999999995</v>
      </c>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row>
    <row r="22" spans="1:52">
      <c r="A22" s="151" t="s">
        <v>112</v>
      </c>
      <c r="B22" s="152" t="s">
        <v>85</v>
      </c>
      <c r="C22" s="153">
        <f t="shared" si="2"/>
        <v>1683.3999999999994</v>
      </c>
      <c r="D22" s="152" t="s">
        <v>86</v>
      </c>
      <c r="E22" s="153">
        <f t="shared" si="1"/>
        <v>324.90000000000003</v>
      </c>
      <c r="F22" s="154">
        <f t="shared" si="0"/>
        <v>1358.4999999999993</v>
      </c>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row>
    <row r="23" spans="1:52">
      <c r="A23" s="151" t="s">
        <v>113</v>
      </c>
      <c r="B23" s="152" t="s">
        <v>85</v>
      </c>
      <c r="C23" s="153">
        <f t="shared" si="2"/>
        <v>1771.9999999999993</v>
      </c>
      <c r="D23" s="152" t="s">
        <v>86</v>
      </c>
      <c r="E23" s="153">
        <f t="shared" si="1"/>
        <v>342.00000000000006</v>
      </c>
      <c r="F23" s="154">
        <f t="shared" si="0"/>
        <v>1429.9999999999993</v>
      </c>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row>
    <row r="24" spans="1:52">
      <c r="A24" s="151" t="s">
        <v>89</v>
      </c>
      <c r="B24" s="152" t="s">
        <v>88</v>
      </c>
      <c r="C24" s="153">
        <f>17.72*5</f>
        <v>88.6</v>
      </c>
      <c r="D24" s="152" t="s">
        <v>86</v>
      </c>
      <c r="E24" s="153">
        <f>3.42*5</f>
        <v>17.100000000000001</v>
      </c>
      <c r="F24" s="154">
        <f t="shared" si="0"/>
        <v>71.5</v>
      </c>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row>
    <row r="25" spans="1:52">
      <c r="A25" s="151" t="s">
        <v>93</v>
      </c>
      <c r="B25" s="152" t="s">
        <v>88</v>
      </c>
      <c r="C25" s="153">
        <f>$C$24+C24</f>
        <v>177.2</v>
      </c>
      <c r="D25" s="152" t="s">
        <v>86</v>
      </c>
      <c r="E25" s="153">
        <f>$E$24+E24</f>
        <v>34.200000000000003</v>
      </c>
      <c r="F25" s="154">
        <f t="shared" si="0"/>
        <v>143</v>
      </c>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row>
    <row r="26" spans="1:52">
      <c r="A26" s="151" t="s">
        <v>95</v>
      </c>
      <c r="B26" s="152" t="s">
        <v>88</v>
      </c>
      <c r="C26" s="153">
        <f t="shared" ref="C26:C43" si="3">$C$24+C25</f>
        <v>265.79999999999995</v>
      </c>
      <c r="D26" s="152" t="s">
        <v>86</v>
      </c>
      <c r="E26" s="153">
        <f t="shared" ref="E26:E43" si="4">$E$24+E25</f>
        <v>51.300000000000004</v>
      </c>
      <c r="F26" s="154">
        <f t="shared" si="0"/>
        <v>214.49999999999994</v>
      </c>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row>
    <row r="27" spans="1:52">
      <c r="A27" s="151" t="s">
        <v>96</v>
      </c>
      <c r="B27" s="152" t="s">
        <v>88</v>
      </c>
      <c r="C27" s="153">
        <f t="shared" si="3"/>
        <v>354.4</v>
      </c>
      <c r="D27" s="152" t="s">
        <v>86</v>
      </c>
      <c r="E27" s="153">
        <f t="shared" si="4"/>
        <v>68.400000000000006</v>
      </c>
      <c r="F27" s="154">
        <f t="shared" si="0"/>
        <v>286</v>
      </c>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row>
    <row r="28" spans="1:52">
      <c r="A28" s="151" t="s">
        <v>97</v>
      </c>
      <c r="B28" s="152" t="s">
        <v>88</v>
      </c>
      <c r="C28" s="153">
        <f t="shared" si="3"/>
        <v>443</v>
      </c>
      <c r="D28" s="152" t="s">
        <v>86</v>
      </c>
      <c r="E28" s="153">
        <f t="shared" si="4"/>
        <v>85.5</v>
      </c>
      <c r="F28" s="154">
        <f t="shared" si="0"/>
        <v>357.5</v>
      </c>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row>
    <row r="29" spans="1:52">
      <c r="A29" s="151" t="s">
        <v>98</v>
      </c>
      <c r="B29" s="152" t="s">
        <v>88</v>
      </c>
      <c r="C29" s="153">
        <f t="shared" si="3"/>
        <v>531.6</v>
      </c>
      <c r="D29" s="152" t="s">
        <v>86</v>
      </c>
      <c r="E29" s="153">
        <f t="shared" si="4"/>
        <v>102.6</v>
      </c>
      <c r="F29" s="154">
        <f t="shared" si="0"/>
        <v>429</v>
      </c>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row>
    <row r="30" spans="1:52">
      <c r="A30" s="151" t="s">
        <v>99</v>
      </c>
      <c r="B30" s="152" t="s">
        <v>88</v>
      </c>
      <c r="C30" s="153">
        <f t="shared" si="3"/>
        <v>620.20000000000005</v>
      </c>
      <c r="D30" s="152" t="s">
        <v>86</v>
      </c>
      <c r="E30" s="153">
        <f t="shared" si="4"/>
        <v>119.69999999999999</v>
      </c>
      <c r="F30" s="154">
        <f t="shared" si="0"/>
        <v>500.50000000000006</v>
      </c>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row>
    <row r="31" spans="1:52">
      <c r="A31" s="151" t="s">
        <v>100</v>
      </c>
      <c r="B31" s="152" t="s">
        <v>88</v>
      </c>
      <c r="C31" s="153">
        <f t="shared" si="3"/>
        <v>708.80000000000007</v>
      </c>
      <c r="D31" s="152" t="s">
        <v>86</v>
      </c>
      <c r="E31" s="153">
        <f t="shared" si="4"/>
        <v>136.79999999999998</v>
      </c>
      <c r="F31" s="154">
        <f t="shared" si="0"/>
        <v>572.00000000000011</v>
      </c>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row>
    <row r="32" spans="1:52">
      <c r="A32" s="151" t="s">
        <v>101</v>
      </c>
      <c r="B32" s="152" t="s">
        <v>88</v>
      </c>
      <c r="C32" s="153">
        <f t="shared" si="3"/>
        <v>797.40000000000009</v>
      </c>
      <c r="D32" s="152" t="s">
        <v>86</v>
      </c>
      <c r="E32" s="153">
        <f t="shared" si="4"/>
        <v>153.89999999999998</v>
      </c>
      <c r="F32" s="154">
        <f t="shared" si="0"/>
        <v>643.50000000000011</v>
      </c>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row>
    <row r="33" spans="1:52">
      <c r="A33" s="151" t="s">
        <v>103</v>
      </c>
      <c r="B33" s="152" t="s">
        <v>88</v>
      </c>
      <c r="C33" s="153">
        <f t="shared" si="3"/>
        <v>886.00000000000011</v>
      </c>
      <c r="D33" s="152" t="s">
        <v>86</v>
      </c>
      <c r="E33" s="153">
        <f t="shared" si="4"/>
        <v>170.99999999999997</v>
      </c>
      <c r="F33" s="154">
        <f t="shared" si="0"/>
        <v>715.00000000000011</v>
      </c>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row>
    <row r="34" spans="1:52">
      <c r="A34" s="151" t="s">
        <v>104</v>
      </c>
      <c r="B34" s="152" t="s">
        <v>88</v>
      </c>
      <c r="C34" s="153">
        <f t="shared" si="3"/>
        <v>974.60000000000014</v>
      </c>
      <c r="D34" s="152" t="s">
        <v>86</v>
      </c>
      <c r="E34" s="153">
        <f t="shared" si="4"/>
        <v>188.09999999999997</v>
      </c>
      <c r="F34" s="154">
        <f t="shared" si="0"/>
        <v>786.50000000000023</v>
      </c>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row>
    <row r="35" spans="1:52">
      <c r="A35" s="151" t="s">
        <v>105</v>
      </c>
      <c r="B35" s="152" t="s">
        <v>88</v>
      </c>
      <c r="C35" s="153">
        <f t="shared" si="3"/>
        <v>1063.2</v>
      </c>
      <c r="D35" s="152" t="s">
        <v>86</v>
      </c>
      <c r="E35" s="153">
        <f t="shared" si="4"/>
        <v>205.19999999999996</v>
      </c>
      <c r="F35" s="154">
        <f t="shared" si="0"/>
        <v>858.00000000000011</v>
      </c>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row>
    <row r="36" spans="1:52">
      <c r="A36" s="151" t="s">
        <v>106</v>
      </c>
      <c r="B36" s="152" t="s">
        <v>88</v>
      </c>
      <c r="C36" s="153">
        <f t="shared" si="3"/>
        <v>1151.8</v>
      </c>
      <c r="D36" s="152" t="s">
        <v>86</v>
      </c>
      <c r="E36" s="153">
        <f t="shared" si="4"/>
        <v>222.29999999999995</v>
      </c>
      <c r="F36" s="154">
        <f t="shared" si="0"/>
        <v>929.5</v>
      </c>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row>
    <row r="37" spans="1:52">
      <c r="A37" s="151" t="s">
        <v>107</v>
      </c>
      <c r="B37" s="152" t="s">
        <v>88</v>
      </c>
      <c r="C37" s="153">
        <f t="shared" si="3"/>
        <v>1240.3999999999999</v>
      </c>
      <c r="D37" s="152" t="s">
        <v>86</v>
      </c>
      <c r="E37" s="153">
        <f t="shared" si="4"/>
        <v>239.39999999999995</v>
      </c>
      <c r="F37" s="154">
        <f t="shared" si="0"/>
        <v>1000.9999999999999</v>
      </c>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row>
    <row r="38" spans="1:52">
      <c r="A38" s="151" t="s">
        <v>108</v>
      </c>
      <c r="B38" s="152" t="s">
        <v>88</v>
      </c>
      <c r="C38" s="153">
        <f t="shared" si="3"/>
        <v>1328.9999999999998</v>
      </c>
      <c r="D38" s="152" t="s">
        <v>86</v>
      </c>
      <c r="E38" s="153">
        <f t="shared" si="4"/>
        <v>256.49999999999994</v>
      </c>
      <c r="F38" s="154">
        <f t="shared" si="0"/>
        <v>1072.4999999999998</v>
      </c>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row>
    <row r="39" spans="1:52">
      <c r="A39" s="151" t="s">
        <v>109</v>
      </c>
      <c r="B39" s="152" t="s">
        <v>88</v>
      </c>
      <c r="C39" s="153">
        <f t="shared" si="3"/>
        <v>1417.5999999999997</v>
      </c>
      <c r="D39" s="152" t="s">
        <v>86</v>
      </c>
      <c r="E39" s="153">
        <f t="shared" si="4"/>
        <v>273.59999999999997</v>
      </c>
      <c r="F39" s="154">
        <f t="shared" si="0"/>
        <v>1143.9999999999998</v>
      </c>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row>
    <row r="40" spans="1:52">
      <c r="A40" s="151" t="s">
        <v>110</v>
      </c>
      <c r="B40" s="152" t="s">
        <v>88</v>
      </c>
      <c r="C40" s="153">
        <f t="shared" si="3"/>
        <v>1506.1999999999996</v>
      </c>
      <c r="D40" s="152" t="s">
        <v>86</v>
      </c>
      <c r="E40" s="153">
        <f t="shared" si="4"/>
        <v>290.7</v>
      </c>
      <c r="F40" s="154">
        <f t="shared" si="0"/>
        <v>1215.4999999999995</v>
      </c>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row>
    <row r="41" spans="1:52">
      <c r="A41" s="151" t="s">
        <v>111</v>
      </c>
      <c r="B41" s="152" t="s">
        <v>88</v>
      </c>
      <c r="C41" s="153">
        <f t="shared" si="3"/>
        <v>1594.7999999999995</v>
      </c>
      <c r="D41" s="152" t="s">
        <v>86</v>
      </c>
      <c r="E41" s="153">
        <f t="shared" si="4"/>
        <v>307.8</v>
      </c>
      <c r="F41" s="154">
        <f t="shared" si="0"/>
        <v>1286.9999999999995</v>
      </c>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row>
    <row r="42" spans="1:52">
      <c r="A42" s="151" t="s">
        <v>112</v>
      </c>
      <c r="B42" s="152" t="s">
        <v>88</v>
      </c>
      <c r="C42" s="153">
        <f t="shared" si="3"/>
        <v>1683.3999999999994</v>
      </c>
      <c r="D42" s="152" t="s">
        <v>86</v>
      </c>
      <c r="E42" s="153">
        <f t="shared" si="4"/>
        <v>324.90000000000003</v>
      </c>
      <c r="F42" s="154">
        <f t="shared" si="0"/>
        <v>1358.4999999999993</v>
      </c>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row>
    <row r="43" spans="1:52">
      <c r="A43" s="151" t="s">
        <v>113</v>
      </c>
      <c r="B43" s="152" t="s">
        <v>88</v>
      </c>
      <c r="C43" s="153">
        <f t="shared" si="3"/>
        <v>1771.9999999999993</v>
      </c>
      <c r="D43" s="152" t="s">
        <v>86</v>
      </c>
      <c r="E43" s="153">
        <f t="shared" si="4"/>
        <v>342.00000000000006</v>
      </c>
      <c r="F43" s="154">
        <f t="shared" si="0"/>
        <v>1429.9999999999993</v>
      </c>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row>
    <row r="44" spans="1:52">
      <c r="A44" s="151" t="s">
        <v>89</v>
      </c>
      <c r="B44" s="152" t="s">
        <v>279</v>
      </c>
      <c r="C44" s="153">
        <f>3.32*5</f>
        <v>16.599999999999998</v>
      </c>
      <c r="D44" s="152" t="s">
        <v>92</v>
      </c>
      <c r="E44" s="153">
        <f>0.32*5</f>
        <v>1.6</v>
      </c>
      <c r="F44" s="154">
        <f t="shared" si="0"/>
        <v>14.999999999999998</v>
      </c>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row>
    <row r="45" spans="1:52">
      <c r="A45" s="151" t="s">
        <v>93</v>
      </c>
      <c r="B45" s="152" t="s">
        <v>279</v>
      </c>
      <c r="C45" s="153">
        <f>$C$44+C44</f>
        <v>33.199999999999996</v>
      </c>
      <c r="D45" s="152" t="s">
        <v>92</v>
      </c>
      <c r="E45" s="153">
        <f>$E$44+E44</f>
        <v>3.2</v>
      </c>
      <c r="F45" s="154">
        <f t="shared" si="0"/>
        <v>29.999999999999996</v>
      </c>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row>
    <row r="46" spans="1:52">
      <c r="A46" s="151" t="s">
        <v>95</v>
      </c>
      <c r="B46" s="152" t="s">
        <v>279</v>
      </c>
      <c r="C46" s="153">
        <f t="shared" ref="C46:C63" si="5">$C$44+C45</f>
        <v>49.8</v>
      </c>
      <c r="D46" s="152" t="s">
        <v>92</v>
      </c>
      <c r="E46" s="153">
        <f>$E$44+E45</f>
        <v>4.8000000000000007</v>
      </c>
      <c r="F46" s="154">
        <f t="shared" si="0"/>
        <v>45</v>
      </c>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row>
    <row r="47" spans="1:52">
      <c r="A47" s="151" t="s">
        <v>96</v>
      </c>
      <c r="B47" s="152" t="s">
        <v>279</v>
      </c>
      <c r="C47" s="153">
        <f t="shared" si="5"/>
        <v>66.399999999999991</v>
      </c>
      <c r="D47" s="152" t="s">
        <v>92</v>
      </c>
      <c r="E47" s="153">
        <f t="shared" ref="E47:E63" si="6">$E$44+E46</f>
        <v>6.4</v>
      </c>
      <c r="F47" s="154">
        <f t="shared" si="0"/>
        <v>59.999999999999993</v>
      </c>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row>
    <row r="48" spans="1:52">
      <c r="A48" s="151" t="s">
        <v>97</v>
      </c>
      <c r="B48" s="152" t="s">
        <v>279</v>
      </c>
      <c r="C48" s="153">
        <f t="shared" si="5"/>
        <v>82.999999999999986</v>
      </c>
      <c r="D48" s="152" t="s">
        <v>92</v>
      </c>
      <c r="E48" s="153">
        <f t="shared" si="6"/>
        <v>8</v>
      </c>
      <c r="F48" s="154">
        <f t="shared" si="0"/>
        <v>74.999999999999986</v>
      </c>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row>
    <row r="49" spans="1:52">
      <c r="A49" s="151" t="s">
        <v>98</v>
      </c>
      <c r="B49" s="152" t="s">
        <v>279</v>
      </c>
      <c r="C49" s="153">
        <f t="shared" si="5"/>
        <v>99.59999999999998</v>
      </c>
      <c r="D49" s="152" t="s">
        <v>92</v>
      </c>
      <c r="E49" s="153">
        <f t="shared" si="6"/>
        <v>9.6</v>
      </c>
      <c r="F49" s="154">
        <f t="shared" si="0"/>
        <v>89.999999999999986</v>
      </c>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row>
    <row r="50" spans="1:52">
      <c r="A50" s="151" t="s">
        <v>99</v>
      </c>
      <c r="B50" s="152" t="s">
        <v>279</v>
      </c>
      <c r="C50" s="153">
        <f t="shared" si="5"/>
        <v>116.19999999999997</v>
      </c>
      <c r="D50" s="152" t="s">
        <v>92</v>
      </c>
      <c r="E50" s="153">
        <f t="shared" si="6"/>
        <v>11.2</v>
      </c>
      <c r="F50" s="154">
        <f t="shared" si="0"/>
        <v>104.99999999999997</v>
      </c>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row>
    <row r="51" spans="1:52">
      <c r="A51" s="151" t="s">
        <v>100</v>
      </c>
      <c r="B51" s="152" t="s">
        <v>279</v>
      </c>
      <c r="C51" s="153">
        <f t="shared" si="5"/>
        <v>132.79999999999998</v>
      </c>
      <c r="D51" s="152" t="s">
        <v>92</v>
      </c>
      <c r="E51" s="153">
        <f t="shared" si="6"/>
        <v>12.799999999999999</v>
      </c>
      <c r="F51" s="154">
        <f t="shared" si="0"/>
        <v>119.99999999999999</v>
      </c>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row>
    <row r="52" spans="1:52">
      <c r="A52" s="151" t="s">
        <v>101</v>
      </c>
      <c r="B52" s="152" t="s">
        <v>279</v>
      </c>
      <c r="C52" s="153">
        <f t="shared" si="5"/>
        <v>149.39999999999998</v>
      </c>
      <c r="D52" s="152" t="s">
        <v>92</v>
      </c>
      <c r="E52" s="153">
        <f t="shared" si="6"/>
        <v>14.399999999999999</v>
      </c>
      <c r="F52" s="154">
        <f t="shared" si="0"/>
        <v>134.99999999999997</v>
      </c>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row>
    <row r="53" spans="1:52">
      <c r="A53" s="151" t="s">
        <v>103</v>
      </c>
      <c r="B53" s="152" t="s">
        <v>279</v>
      </c>
      <c r="C53" s="153">
        <f t="shared" si="5"/>
        <v>165.99999999999997</v>
      </c>
      <c r="D53" s="152" t="s">
        <v>92</v>
      </c>
      <c r="E53" s="153">
        <f t="shared" si="6"/>
        <v>15.999999999999998</v>
      </c>
      <c r="F53" s="154">
        <f t="shared" si="0"/>
        <v>149.99999999999997</v>
      </c>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row>
    <row r="54" spans="1:52">
      <c r="A54" s="151" t="s">
        <v>104</v>
      </c>
      <c r="B54" s="152" t="s">
        <v>279</v>
      </c>
      <c r="C54" s="153">
        <f t="shared" si="5"/>
        <v>182.59999999999997</v>
      </c>
      <c r="D54" s="152" t="s">
        <v>92</v>
      </c>
      <c r="E54" s="153">
        <f t="shared" si="6"/>
        <v>17.599999999999998</v>
      </c>
      <c r="F54" s="154">
        <f t="shared" si="0"/>
        <v>164.99999999999997</v>
      </c>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row>
    <row r="55" spans="1:52">
      <c r="A55" s="151" t="s">
        <v>105</v>
      </c>
      <c r="B55" s="152" t="s">
        <v>279</v>
      </c>
      <c r="C55" s="153">
        <f t="shared" si="5"/>
        <v>199.19999999999996</v>
      </c>
      <c r="D55" s="152" t="s">
        <v>92</v>
      </c>
      <c r="E55" s="153">
        <f t="shared" si="6"/>
        <v>19.2</v>
      </c>
      <c r="F55" s="154">
        <f t="shared" si="0"/>
        <v>179.99999999999997</v>
      </c>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row>
    <row r="56" spans="1:52">
      <c r="A56" s="151" t="s">
        <v>106</v>
      </c>
      <c r="B56" s="152" t="s">
        <v>279</v>
      </c>
      <c r="C56" s="153">
        <f t="shared" si="5"/>
        <v>215.79999999999995</v>
      </c>
      <c r="D56" s="152" t="s">
        <v>92</v>
      </c>
      <c r="E56" s="153">
        <f t="shared" si="6"/>
        <v>20.8</v>
      </c>
      <c r="F56" s="154">
        <f t="shared" si="0"/>
        <v>194.99999999999994</v>
      </c>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52">
      <c r="A57" s="151" t="s">
        <v>107</v>
      </c>
      <c r="B57" s="152" t="s">
        <v>279</v>
      </c>
      <c r="C57" s="153">
        <f t="shared" si="5"/>
        <v>232.39999999999995</v>
      </c>
      <c r="D57" s="152" t="s">
        <v>92</v>
      </c>
      <c r="E57" s="153">
        <f t="shared" si="6"/>
        <v>22.400000000000002</v>
      </c>
      <c r="F57" s="154">
        <f t="shared" si="0"/>
        <v>209.99999999999994</v>
      </c>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row>
    <row r="58" spans="1:52">
      <c r="A58" s="151" t="s">
        <v>108</v>
      </c>
      <c r="B58" s="152" t="s">
        <v>279</v>
      </c>
      <c r="C58" s="153">
        <f t="shared" si="5"/>
        <v>248.99999999999994</v>
      </c>
      <c r="D58" s="152" t="s">
        <v>92</v>
      </c>
      <c r="E58" s="153">
        <f t="shared" si="6"/>
        <v>24.000000000000004</v>
      </c>
      <c r="F58" s="154">
        <f t="shared" si="0"/>
        <v>224.99999999999994</v>
      </c>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row>
    <row r="59" spans="1:52">
      <c r="A59" s="151" t="s">
        <v>109</v>
      </c>
      <c r="B59" s="152" t="s">
        <v>279</v>
      </c>
      <c r="C59" s="153">
        <f t="shared" si="5"/>
        <v>265.59999999999997</v>
      </c>
      <c r="D59" s="152" t="s">
        <v>92</v>
      </c>
      <c r="E59" s="153">
        <f t="shared" si="6"/>
        <v>25.600000000000005</v>
      </c>
      <c r="F59" s="154">
        <f t="shared" si="0"/>
        <v>239.99999999999997</v>
      </c>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row>
    <row r="60" spans="1:52">
      <c r="A60" s="151" t="s">
        <v>110</v>
      </c>
      <c r="B60" s="152" t="s">
        <v>279</v>
      </c>
      <c r="C60" s="153">
        <f t="shared" si="5"/>
        <v>282.2</v>
      </c>
      <c r="D60" s="152" t="s">
        <v>92</v>
      </c>
      <c r="E60" s="153">
        <f t="shared" si="6"/>
        <v>27.200000000000006</v>
      </c>
      <c r="F60" s="154">
        <f t="shared" si="0"/>
        <v>254.99999999999997</v>
      </c>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row>
    <row r="61" spans="1:52">
      <c r="A61" s="151" t="s">
        <v>111</v>
      </c>
      <c r="B61" s="152" t="s">
        <v>279</v>
      </c>
      <c r="C61" s="153">
        <f t="shared" si="5"/>
        <v>298.8</v>
      </c>
      <c r="D61" s="152" t="s">
        <v>92</v>
      </c>
      <c r="E61" s="153">
        <f t="shared" si="6"/>
        <v>28.800000000000008</v>
      </c>
      <c r="F61" s="154">
        <f t="shared" si="0"/>
        <v>270</v>
      </c>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row>
    <row r="62" spans="1:52">
      <c r="A62" s="151" t="s">
        <v>112</v>
      </c>
      <c r="B62" s="152" t="s">
        <v>279</v>
      </c>
      <c r="C62" s="153">
        <f t="shared" si="5"/>
        <v>315.40000000000003</v>
      </c>
      <c r="D62" s="152" t="s">
        <v>92</v>
      </c>
      <c r="E62" s="153">
        <f t="shared" si="6"/>
        <v>30.400000000000009</v>
      </c>
      <c r="F62" s="154">
        <f t="shared" si="0"/>
        <v>285</v>
      </c>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row>
    <row r="63" spans="1:52">
      <c r="A63" s="156" t="s">
        <v>113</v>
      </c>
      <c r="B63" s="152" t="s">
        <v>279</v>
      </c>
      <c r="C63" s="153">
        <f t="shared" si="5"/>
        <v>332.00000000000006</v>
      </c>
      <c r="D63" s="152" t="s">
        <v>92</v>
      </c>
      <c r="E63" s="153">
        <f t="shared" si="6"/>
        <v>32.000000000000007</v>
      </c>
      <c r="F63" s="154">
        <f t="shared" si="0"/>
        <v>300.00000000000006</v>
      </c>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row>
    <row r="64" spans="1:52">
      <c r="A64" s="151" t="s">
        <v>89</v>
      </c>
      <c r="B64" s="152" t="s">
        <v>91</v>
      </c>
      <c r="C64" s="153">
        <f>2.51*5</f>
        <v>12.549999999999999</v>
      </c>
      <c r="D64" s="152" t="s">
        <v>92</v>
      </c>
      <c r="E64" s="153">
        <f>0.32*5</f>
        <v>1.6</v>
      </c>
      <c r="F64" s="154">
        <f t="shared" si="0"/>
        <v>10.95</v>
      </c>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row>
    <row r="65" spans="1:52">
      <c r="A65" s="151" t="s">
        <v>93</v>
      </c>
      <c r="B65" s="152" t="s">
        <v>91</v>
      </c>
      <c r="C65" s="153">
        <f>$C$64+C64</f>
        <v>25.099999999999998</v>
      </c>
      <c r="D65" s="152" t="s">
        <v>92</v>
      </c>
      <c r="E65" s="153">
        <f>$E$64+E64</f>
        <v>3.2</v>
      </c>
      <c r="F65" s="154">
        <f t="shared" si="0"/>
        <v>21.9</v>
      </c>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row>
    <row r="66" spans="1:52">
      <c r="A66" s="151" t="s">
        <v>95</v>
      </c>
      <c r="B66" s="152" t="s">
        <v>91</v>
      </c>
      <c r="C66" s="153">
        <f t="shared" ref="C66:C83" si="7">$C$64+C65</f>
        <v>37.65</v>
      </c>
      <c r="D66" s="152" t="s">
        <v>92</v>
      </c>
      <c r="E66" s="153">
        <f>$E$64+E65</f>
        <v>4.8000000000000007</v>
      </c>
      <c r="F66" s="154">
        <f t="shared" si="0"/>
        <v>32.849999999999994</v>
      </c>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row>
    <row r="67" spans="1:52">
      <c r="A67" s="151" t="s">
        <v>96</v>
      </c>
      <c r="B67" s="152" t="s">
        <v>91</v>
      </c>
      <c r="C67" s="153">
        <f t="shared" si="7"/>
        <v>50.199999999999996</v>
      </c>
      <c r="D67" s="152" t="s">
        <v>92</v>
      </c>
      <c r="E67" s="153">
        <f t="shared" ref="E67:E83" si="8">$E$64+E66</f>
        <v>6.4</v>
      </c>
      <c r="F67" s="154">
        <f t="shared" si="0"/>
        <v>43.8</v>
      </c>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row>
    <row r="68" spans="1:52">
      <c r="A68" s="151" t="s">
        <v>97</v>
      </c>
      <c r="B68" s="152" t="s">
        <v>91</v>
      </c>
      <c r="C68" s="153">
        <f t="shared" si="7"/>
        <v>62.749999999999993</v>
      </c>
      <c r="D68" s="152" t="s">
        <v>92</v>
      </c>
      <c r="E68" s="153">
        <f t="shared" si="8"/>
        <v>8</v>
      </c>
      <c r="F68" s="154">
        <f t="shared" si="0"/>
        <v>54.749999999999993</v>
      </c>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row>
    <row r="69" spans="1:52">
      <c r="A69" s="151" t="s">
        <v>98</v>
      </c>
      <c r="B69" s="152" t="s">
        <v>91</v>
      </c>
      <c r="C69" s="153">
        <f t="shared" si="7"/>
        <v>75.3</v>
      </c>
      <c r="D69" s="152" t="s">
        <v>92</v>
      </c>
      <c r="E69" s="153">
        <f t="shared" si="8"/>
        <v>9.6</v>
      </c>
      <c r="F69" s="154">
        <f t="shared" ref="F69:F123" si="9">C69-E69</f>
        <v>65.7</v>
      </c>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row>
    <row r="70" spans="1:52">
      <c r="A70" s="151" t="s">
        <v>99</v>
      </c>
      <c r="B70" s="152" t="s">
        <v>91</v>
      </c>
      <c r="C70" s="153">
        <f t="shared" si="7"/>
        <v>87.85</v>
      </c>
      <c r="D70" s="152" t="s">
        <v>92</v>
      </c>
      <c r="E70" s="153">
        <f t="shared" si="8"/>
        <v>11.2</v>
      </c>
      <c r="F70" s="154">
        <f t="shared" si="9"/>
        <v>76.649999999999991</v>
      </c>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row>
    <row r="71" spans="1:52">
      <c r="A71" s="151" t="s">
        <v>100</v>
      </c>
      <c r="B71" s="152" t="s">
        <v>91</v>
      </c>
      <c r="C71" s="153">
        <f t="shared" si="7"/>
        <v>100.39999999999999</v>
      </c>
      <c r="D71" s="152" t="s">
        <v>92</v>
      </c>
      <c r="E71" s="153">
        <f t="shared" si="8"/>
        <v>12.799999999999999</v>
      </c>
      <c r="F71" s="154">
        <f t="shared" si="9"/>
        <v>87.6</v>
      </c>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row>
    <row r="72" spans="1:52">
      <c r="A72" s="151" t="s">
        <v>101</v>
      </c>
      <c r="B72" s="152" t="s">
        <v>91</v>
      </c>
      <c r="C72" s="153">
        <f t="shared" si="7"/>
        <v>112.94999999999999</v>
      </c>
      <c r="D72" s="152" t="s">
        <v>92</v>
      </c>
      <c r="E72" s="153">
        <f t="shared" si="8"/>
        <v>14.399999999999999</v>
      </c>
      <c r="F72" s="154">
        <f t="shared" si="9"/>
        <v>98.549999999999983</v>
      </c>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row>
    <row r="73" spans="1:52">
      <c r="A73" s="151" t="s">
        <v>103</v>
      </c>
      <c r="B73" s="152" t="s">
        <v>91</v>
      </c>
      <c r="C73" s="153">
        <f t="shared" si="7"/>
        <v>125.49999999999999</v>
      </c>
      <c r="D73" s="152" t="s">
        <v>92</v>
      </c>
      <c r="E73" s="153">
        <f t="shared" si="8"/>
        <v>15.999999999999998</v>
      </c>
      <c r="F73" s="154">
        <f t="shared" si="9"/>
        <v>109.49999999999999</v>
      </c>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row>
    <row r="74" spans="1:52">
      <c r="A74" s="151" t="s">
        <v>104</v>
      </c>
      <c r="B74" s="152" t="s">
        <v>91</v>
      </c>
      <c r="C74" s="153">
        <f t="shared" si="7"/>
        <v>138.04999999999998</v>
      </c>
      <c r="D74" s="152" t="s">
        <v>92</v>
      </c>
      <c r="E74" s="153">
        <f t="shared" si="8"/>
        <v>17.599999999999998</v>
      </c>
      <c r="F74" s="154">
        <f t="shared" si="9"/>
        <v>120.44999999999999</v>
      </c>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row>
    <row r="75" spans="1:52">
      <c r="A75" s="151" t="s">
        <v>105</v>
      </c>
      <c r="B75" s="152" t="s">
        <v>91</v>
      </c>
      <c r="C75" s="153">
        <f t="shared" si="7"/>
        <v>150.6</v>
      </c>
      <c r="D75" s="152" t="s">
        <v>92</v>
      </c>
      <c r="E75" s="153">
        <f t="shared" si="8"/>
        <v>19.2</v>
      </c>
      <c r="F75" s="154">
        <f t="shared" si="9"/>
        <v>131.4</v>
      </c>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row>
    <row r="76" spans="1:52">
      <c r="A76" s="151" t="s">
        <v>106</v>
      </c>
      <c r="B76" s="152" t="s">
        <v>91</v>
      </c>
      <c r="C76" s="153">
        <f t="shared" si="7"/>
        <v>163.15</v>
      </c>
      <c r="D76" s="152" t="s">
        <v>92</v>
      </c>
      <c r="E76" s="153">
        <f t="shared" si="8"/>
        <v>20.8</v>
      </c>
      <c r="F76" s="154">
        <f t="shared" si="9"/>
        <v>142.35</v>
      </c>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row>
    <row r="77" spans="1:52">
      <c r="A77" s="151" t="s">
        <v>107</v>
      </c>
      <c r="B77" s="152" t="s">
        <v>91</v>
      </c>
      <c r="C77" s="153">
        <f t="shared" si="7"/>
        <v>175.70000000000002</v>
      </c>
      <c r="D77" s="152" t="s">
        <v>92</v>
      </c>
      <c r="E77" s="153">
        <f t="shared" si="8"/>
        <v>22.400000000000002</v>
      </c>
      <c r="F77" s="154">
        <f t="shared" si="9"/>
        <v>153.30000000000001</v>
      </c>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row>
    <row r="78" spans="1:52">
      <c r="A78" s="151" t="s">
        <v>108</v>
      </c>
      <c r="B78" s="152" t="s">
        <v>91</v>
      </c>
      <c r="C78" s="153">
        <f t="shared" si="7"/>
        <v>188.25000000000003</v>
      </c>
      <c r="D78" s="152" t="s">
        <v>92</v>
      </c>
      <c r="E78" s="153">
        <f t="shared" si="8"/>
        <v>24.000000000000004</v>
      </c>
      <c r="F78" s="154">
        <f t="shared" si="9"/>
        <v>164.25000000000003</v>
      </c>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row>
    <row r="79" spans="1:52">
      <c r="A79" s="151" t="s">
        <v>109</v>
      </c>
      <c r="B79" s="152" t="s">
        <v>91</v>
      </c>
      <c r="C79" s="153">
        <f t="shared" si="7"/>
        <v>200.80000000000004</v>
      </c>
      <c r="D79" s="152" t="s">
        <v>92</v>
      </c>
      <c r="E79" s="153">
        <f t="shared" si="8"/>
        <v>25.600000000000005</v>
      </c>
      <c r="F79" s="154">
        <f t="shared" si="9"/>
        <v>175.20000000000005</v>
      </c>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row>
    <row r="80" spans="1:52">
      <c r="A80" s="151" t="s">
        <v>110</v>
      </c>
      <c r="B80" s="152" t="s">
        <v>91</v>
      </c>
      <c r="C80" s="153">
        <f t="shared" si="7"/>
        <v>213.35000000000005</v>
      </c>
      <c r="D80" s="152" t="s">
        <v>92</v>
      </c>
      <c r="E80" s="153">
        <f t="shared" si="8"/>
        <v>27.200000000000006</v>
      </c>
      <c r="F80" s="154">
        <f t="shared" si="9"/>
        <v>186.15000000000003</v>
      </c>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row>
    <row r="81" spans="1:52">
      <c r="A81" s="151" t="s">
        <v>111</v>
      </c>
      <c r="B81" s="152" t="s">
        <v>91</v>
      </c>
      <c r="C81" s="153">
        <f t="shared" si="7"/>
        <v>225.90000000000006</v>
      </c>
      <c r="D81" s="152" t="s">
        <v>92</v>
      </c>
      <c r="E81" s="153">
        <f t="shared" si="8"/>
        <v>28.800000000000008</v>
      </c>
      <c r="F81" s="154">
        <f t="shared" si="9"/>
        <v>197.10000000000005</v>
      </c>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row>
    <row r="82" spans="1:52">
      <c r="A82" s="151" t="s">
        <v>112</v>
      </c>
      <c r="B82" s="152" t="s">
        <v>91</v>
      </c>
      <c r="C82" s="153">
        <f t="shared" si="7"/>
        <v>238.45000000000007</v>
      </c>
      <c r="D82" s="152" t="s">
        <v>92</v>
      </c>
      <c r="E82" s="153">
        <f t="shared" si="8"/>
        <v>30.400000000000009</v>
      </c>
      <c r="F82" s="154">
        <f t="shared" si="9"/>
        <v>208.05000000000007</v>
      </c>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row>
    <row r="83" spans="1:52">
      <c r="A83" s="156" t="s">
        <v>113</v>
      </c>
      <c r="B83" s="157" t="s">
        <v>91</v>
      </c>
      <c r="C83" s="153">
        <f t="shared" si="7"/>
        <v>251.00000000000009</v>
      </c>
      <c r="D83" s="152" t="s">
        <v>92</v>
      </c>
      <c r="E83" s="153">
        <f t="shared" si="8"/>
        <v>32.000000000000007</v>
      </c>
      <c r="F83" s="154">
        <f t="shared" si="9"/>
        <v>219.00000000000009</v>
      </c>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row>
    <row r="84" spans="1:52">
      <c r="A84" s="151" t="s">
        <v>89</v>
      </c>
      <c r="B84" s="152" t="s">
        <v>280</v>
      </c>
      <c r="C84" s="153">
        <f>2.51*5</f>
        <v>12.549999999999999</v>
      </c>
      <c r="D84" s="152" t="s">
        <v>92</v>
      </c>
      <c r="E84" s="153">
        <f>0.32*5</f>
        <v>1.6</v>
      </c>
      <c r="F84" s="154">
        <f t="shared" si="9"/>
        <v>10.95</v>
      </c>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row>
    <row r="85" spans="1:52">
      <c r="A85" s="151" t="s">
        <v>93</v>
      </c>
      <c r="B85" s="152" t="s">
        <v>280</v>
      </c>
      <c r="C85" s="153">
        <f>$C$84+C84</f>
        <v>25.099999999999998</v>
      </c>
      <c r="D85" s="152" t="s">
        <v>92</v>
      </c>
      <c r="E85" s="153">
        <f>$E$84+E84</f>
        <v>3.2</v>
      </c>
      <c r="F85" s="154">
        <f>C85-E85</f>
        <v>21.9</v>
      </c>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row>
    <row r="86" spans="1:52">
      <c r="A86" s="151" t="s">
        <v>95</v>
      </c>
      <c r="B86" s="152" t="s">
        <v>280</v>
      </c>
      <c r="C86" s="153">
        <f t="shared" ref="C86:C103" si="10">$C$84+C85</f>
        <v>37.65</v>
      </c>
      <c r="D86" s="152" t="s">
        <v>92</v>
      </c>
      <c r="E86" s="153">
        <f>$E$84+E85</f>
        <v>4.8000000000000007</v>
      </c>
      <c r="F86" s="154">
        <f t="shared" si="9"/>
        <v>32.849999999999994</v>
      </c>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row>
    <row r="87" spans="1:52">
      <c r="A87" s="151" t="s">
        <v>96</v>
      </c>
      <c r="B87" s="152" t="s">
        <v>280</v>
      </c>
      <c r="C87" s="153">
        <f t="shared" si="10"/>
        <v>50.199999999999996</v>
      </c>
      <c r="D87" s="152" t="s">
        <v>92</v>
      </c>
      <c r="E87" s="153">
        <f t="shared" ref="E87:E103" si="11">$E$84+E86</f>
        <v>6.4</v>
      </c>
      <c r="F87" s="154">
        <f t="shared" si="9"/>
        <v>43.8</v>
      </c>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row>
    <row r="88" spans="1:52">
      <c r="A88" s="151" t="s">
        <v>97</v>
      </c>
      <c r="B88" s="152" t="s">
        <v>280</v>
      </c>
      <c r="C88" s="153">
        <f t="shared" si="10"/>
        <v>62.749999999999993</v>
      </c>
      <c r="D88" s="152" t="s">
        <v>92</v>
      </c>
      <c r="E88" s="153">
        <f t="shared" si="11"/>
        <v>8</v>
      </c>
      <c r="F88" s="154">
        <f t="shared" si="9"/>
        <v>54.749999999999993</v>
      </c>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row>
    <row r="89" spans="1:52">
      <c r="A89" s="151" t="s">
        <v>98</v>
      </c>
      <c r="B89" s="152" t="s">
        <v>280</v>
      </c>
      <c r="C89" s="153">
        <f t="shared" si="10"/>
        <v>75.3</v>
      </c>
      <c r="D89" s="152" t="s">
        <v>92</v>
      </c>
      <c r="E89" s="153">
        <f t="shared" si="11"/>
        <v>9.6</v>
      </c>
      <c r="F89" s="154">
        <f t="shared" si="9"/>
        <v>65.7</v>
      </c>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row>
    <row r="90" spans="1:52">
      <c r="A90" s="151" t="s">
        <v>99</v>
      </c>
      <c r="B90" s="152" t="s">
        <v>280</v>
      </c>
      <c r="C90" s="153">
        <f t="shared" si="10"/>
        <v>87.85</v>
      </c>
      <c r="D90" s="152" t="s">
        <v>92</v>
      </c>
      <c r="E90" s="153">
        <f t="shared" si="11"/>
        <v>11.2</v>
      </c>
      <c r="F90" s="154">
        <f t="shared" si="9"/>
        <v>76.649999999999991</v>
      </c>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row>
    <row r="91" spans="1:52">
      <c r="A91" s="151" t="s">
        <v>100</v>
      </c>
      <c r="B91" s="152" t="s">
        <v>280</v>
      </c>
      <c r="C91" s="153">
        <f t="shared" si="10"/>
        <v>100.39999999999999</v>
      </c>
      <c r="D91" s="152" t="s">
        <v>92</v>
      </c>
      <c r="E91" s="153">
        <f t="shared" si="11"/>
        <v>12.799999999999999</v>
      </c>
      <c r="F91" s="154">
        <f t="shared" si="9"/>
        <v>87.6</v>
      </c>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row>
    <row r="92" spans="1:52">
      <c r="A92" s="151" t="s">
        <v>101</v>
      </c>
      <c r="B92" s="152" t="s">
        <v>280</v>
      </c>
      <c r="C92" s="153">
        <f t="shared" si="10"/>
        <v>112.94999999999999</v>
      </c>
      <c r="D92" s="152" t="s">
        <v>92</v>
      </c>
      <c r="E92" s="153">
        <f t="shared" si="11"/>
        <v>14.399999999999999</v>
      </c>
      <c r="F92" s="154">
        <f t="shared" si="9"/>
        <v>98.549999999999983</v>
      </c>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row>
    <row r="93" spans="1:52">
      <c r="A93" s="151" t="s">
        <v>103</v>
      </c>
      <c r="B93" s="152" t="s">
        <v>280</v>
      </c>
      <c r="C93" s="153">
        <f t="shared" si="10"/>
        <v>125.49999999999999</v>
      </c>
      <c r="D93" s="152" t="s">
        <v>92</v>
      </c>
      <c r="E93" s="153">
        <f t="shared" si="11"/>
        <v>15.999999999999998</v>
      </c>
      <c r="F93" s="154">
        <f t="shared" si="9"/>
        <v>109.49999999999999</v>
      </c>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row>
    <row r="94" spans="1:52">
      <c r="A94" s="151" t="s">
        <v>104</v>
      </c>
      <c r="B94" s="152" t="s">
        <v>280</v>
      </c>
      <c r="C94" s="153">
        <f t="shared" si="10"/>
        <v>138.04999999999998</v>
      </c>
      <c r="D94" s="152" t="s">
        <v>92</v>
      </c>
      <c r="E94" s="153">
        <f t="shared" si="11"/>
        <v>17.599999999999998</v>
      </c>
      <c r="F94" s="154">
        <f t="shared" si="9"/>
        <v>120.44999999999999</v>
      </c>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row>
    <row r="95" spans="1:52">
      <c r="A95" s="151" t="s">
        <v>105</v>
      </c>
      <c r="B95" s="152" t="s">
        <v>280</v>
      </c>
      <c r="C95" s="153">
        <f t="shared" si="10"/>
        <v>150.6</v>
      </c>
      <c r="D95" s="152" t="s">
        <v>92</v>
      </c>
      <c r="E95" s="153">
        <f t="shared" si="11"/>
        <v>19.2</v>
      </c>
      <c r="F95" s="154">
        <f t="shared" si="9"/>
        <v>131.4</v>
      </c>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row>
    <row r="96" spans="1:52">
      <c r="A96" s="151" t="s">
        <v>106</v>
      </c>
      <c r="B96" s="152" t="s">
        <v>280</v>
      </c>
      <c r="C96" s="153">
        <f t="shared" si="10"/>
        <v>163.15</v>
      </c>
      <c r="D96" s="152" t="s">
        <v>92</v>
      </c>
      <c r="E96" s="153">
        <f t="shared" si="11"/>
        <v>20.8</v>
      </c>
      <c r="F96" s="154">
        <f t="shared" si="9"/>
        <v>142.35</v>
      </c>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row>
    <row r="97" spans="1:52">
      <c r="A97" s="151" t="s">
        <v>107</v>
      </c>
      <c r="B97" s="152" t="s">
        <v>280</v>
      </c>
      <c r="C97" s="153">
        <f t="shared" si="10"/>
        <v>175.70000000000002</v>
      </c>
      <c r="D97" s="152" t="s">
        <v>92</v>
      </c>
      <c r="E97" s="153">
        <f t="shared" si="11"/>
        <v>22.400000000000002</v>
      </c>
      <c r="F97" s="154">
        <f t="shared" si="9"/>
        <v>153.30000000000001</v>
      </c>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row>
    <row r="98" spans="1:52">
      <c r="A98" s="151" t="s">
        <v>108</v>
      </c>
      <c r="B98" s="152" t="s">
        <v>280</v>
      </c>
      <c r="C98" s="153">
        <f t="shared" si="10"/>
        <v>188.25000000000003</v>
      </c>
      <c r="D98" s="152" t="s">
        <v>92</v>
      </c>
      <c r="E98" s="153">
        <f t="shared" si="11"/>
        <v>24.000000000000004</v>
      </c>
      <c r="F98" s="154">
        <f t="shared" si="9"/>
        <v>164.25000000000003</v>
      </c>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row>
    <row r="99" spans="1:52">
      <c r="A99" s="151" t="s">
        <v>109</v>
      </c>
      <c r="B99" s="152" t="s">
        <v>280</v>
      </c>
      <c r="C99" s="153">
        <f t="shared" si="10"/>
        <v>200.80000000000004</v>
      </c>
      <c r="D99" s="152" t="s">
        <v>92</v>
      </c>
      <c r="E99" s="153">
        <f t="shared" si="11"/>
        <v>25.600000000000005</v>
      </c>
      <c r="F99" s="154">
        <f t="shared" si="9"/>
        <v>175.20000000000005</v>
      </c>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row>
    <row r="100" spans="1:52">
      <c r="A100" s="151" t="s">
        <v>110</v>
      </c>
      <c r="B100" s="152" t="s">
        <v>280</v>
      </c>
      <c r="C100" s="153">
        <f t="shared" si="10"/>
        <v>213.35000000000005</v>
      </c>
      <c r="D100" s="152" t="s">
        <v>92</v>
      </c>
      <c r="E100" s="153">
        <f t="shared" si="11"/>
        <v>27.200000000000006</v>
      </c>
      <c r="F100" s="154">
        <f t="shared" si="9"/>
        <v>186.15000000000003</v>
      </c>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row>
    <row r="101" spans="1:52">
      <c r="A101" s="151" t="s">
        <v>111</v>
      </c>
      <c r="B101" s="152" t="s">
        <v>280</v>
      </c>
      <c r="C101" s="153">
        <f t="shared" si="10"/>
        <v>225.90000000000006</v>
      </c>
      <c r="D101" s="152" t="s">
        <v>92</v>
      </c>
      <c r="E101" s="153">
        <f t="shared" si="11"/>
        <v>28.800000000000008</v>
      </c>
      <c r="F101" s="154">
        <f t="shared" si="9"/>
        <v>197.10000000000005</v>
      </c>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row>
    <row r="102" spans="1:52">
      <c r="A102" s="151" t="s">
        <v>112</v>
      </c>
      <c r="B102" s="152" t="s">
        <v>280</v>
      </c>
      <c r="C102" s="153">
        <f t="shared" si="10"/>
        <v>238.45000000000007</v>
      </c>
      <c r="D102" s="152" t="s">
        <v>92</v>
      </c>
      <c r="E102" s="153">
        <f t="shared" si="11"/>
        <v>30.400000000000009</v>
      </c>
      <c r="F102" s="154">
        <f t="shared" si="9"/>
        <v>208.05000000000007</v>
      </c>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row>
    <row r="103" spans="1:52">
      <c r="A103" s="151" t="s">
        <v>113</v>
      </c>
      <c r="B103" s="152" t="s">
        <v>280</v>
      </c>
      <c r="C103" s="153">
        <f t="shared" si="10"/>
        <v>251.00000000000009</v>
      </c>
      <c r="D103" s="152" t="s">
        <v>92</v>
      </c>
      <c r="E103" s="153">
        <f t="shared" si="11"/>
        <v>32.000000000000007</v>
      </c>
      <c r="F103" s="154">
        <f t="shared" si="9"/>
        <v>219.00000000000009</v>
      </c>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row>
    <row r="104" spans="1:52">
      <c r="A104" s="151" t="s">
        <v>89</v>
      </c>
      <c r="B104" s="152" t="s">
        <v>281</v>
      </c>
      <c r="C104" s="153">
        <f>0.32*5</f>
        <v>1.6</v>
      </c>
      <c r="D104" s="152" t="s">
        <v>281</v>
      </c>
      <c r="E104" s="153">
        <f>0.32*5</f>
        <v>1.6</v>
      </c>
      <c r="F104" s="154">
        <f t="shared" si="9"/>
        <v>0</v>
      </c>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row>
    <row r="105" spans="1:52">
      <c r="A105" s="151" t="s">
        <v>93</v>
      </c>
      <c r="B105" s="152" t="s">
        <v>281</v>
      </c>
      <c r="C105" s="153">
        <f>$C$104+C104</f>
        <v>3.2</v>
      </c>
      <c r="D105" s="152" t="s">
        <v>281</v>
      </c>
      <c r="E105" s="153">
        <f>$E$104+E104</f>
        <v>3.2</v>
      </c>
      <c r="F105" s="154">
        <f t="shared" si="9"/>
        <v>0</v>
      </c>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row>
    <row r="106" spans="1:52">
      <c r="A106" s="151" t="s">
        <v>95</v>
      </c>
      <c r="B106" s="152" t="s">
        <v>281</v>
      </c>
      <c r="C106" s="153">
        <f t="shared" ref="C106:C123" si="12">$C$104+C105</f>
        <v>4.8000000000000007</v>
      </c>
      <c r="D106" s="152" t="s">
        <v>281</v>
      </c>
      <c r="E106" s="153">
        <f>$E$104+E105</f>
        <v>4.8000000000000007</v>
      </c>
      <c r="F106" s="154">
        <f t="shared" si="9"/>
        <v>0</v>
      </c>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row>
    <row r="107" spans="1:52">
      <c r="A107" s="151" t="s">
        <v>96</v>
      </c>
      <c r="B107" s="152" t="s">
        <v>281</v>
      </c>
      <c r="C107" s="153">
        <f t="shared" si="12"/>
        <v>6.4</v>
      </c>
      <c r="D107" s="152" t="s">
        <v>281</v>
      </c>
      <c r="E107" s="153">
        <f t="shared" ref="E107:E123" si="13">$E$104+E106</f>
        <v>6.4</v>
      </c>
      <c r="F107" s="154">
        <f t="shared" si="9"/>
        <v>0</v>
      </c>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row>
    <row r="108" spans="1:52">
      <c r="A108" s="151" t="s">
        <v>97</v>
      </c>
      <c r="B108" s="152" t="s">
        <v>281</v>
      </c>
      <c r="C108" s="153">
        <f t="shared" si="12"/>
        <v>8</v>
      </c>
      <c r="D108" s="152" t="s">
        <v>281</v>
      </c>
      <c r="E108" s="153">
        <f t="shared" si="13"/>
        <v>8</v>
      </c>
      <c r="F108" s="154">
        <f t="shared" si="9"/>
        <v>0</v>
      </c>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row>
    <row r="109" spans="1:52">
      <c r="A109" s="151" t="s">
        <v>98</v>
      </c>
      <c r="B109" s="152" t="s">
        <v>281</v>
      </c>
      <c r="C109" s="153">
        <f t="shared" si="12"/>
        <v>9.6</v>
      </c>
      <c r="D109" s="152" t="s">
        <v>281</v>
      </c>
      <c r="E109" s="153">
        <f t="shared" si="13"/>
        <v>9.6</v>
      </c>
      <c r="F109" s="154">
        <f t="shared" si="9"/>
        <v>0</v>
      </c>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row>
    <row r="110" spans="1:52">
      <c r="A110" s="151" t="s">
        <v>99</v>
      </c>
      <c r="B110" s="152" t="s">
        <v>281</v>
      </c>
      <c r="C110" s="153">
        <f t="shared" si="12"/>
        <v>11.2</v>
      </c>
      <c r="D110" s="152" t="s">
        <v>281</v>
      </c>
      <c r="E110" s="153">
        <f t="shared" si="13"/>
        <v>11.2</v>
      </c>
      <c r="F110" s="154">
        <f t="shared" si="9"/>
        <v>0</v>
      </c>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row>
    <row r="111" spans="1:52">
      <c r="A111" s="151" t="s">
        <v>100</v>
      </c>
      <c r="B111" s="152" t="s">
        <v>281</v>
      </c>
      <c r="C111" s="153">
        <f t="shared" si="12"/>
        <v>12.799999999999999</v>
      </c>
      <c r="D111" s="152" t="s">
        <v>281</v>
      </c>
      <c r="E111" s="153">
        <f t="shared" si="13"/>
        <v>12.799999999999999</v>
      </c>
      <c r="F111" s="154">
        <f t="shared" si="9"/>
        <v>0</v>
      </c>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row>
    <row r="112" spans="1:52">
      <c r="A112" s="151" t="s">
        <v>101</v>
      </c>
      <c r="B112" s="152" t="s">
        <v>281</v>
      </c>
      <c r="C112" s="153">
        <f t="shared" si="12"/>
        <v>14.399999999999999</v>
      </c>
      <c r="D112" s="152" t="s">
        <v>281</v>
      </c>
      <c r="E112" s="153">
        <f t="shared" si="13"/>
        <v>14.399999999999999</v>
      </c>
      <c r="F112" s="154">
        <f t="shared" si="9"/>
        <v>0</v>
      </c>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row>
    <row r="113" spans="1:52">
      <c r="A113" s="151" t="s">
        <v>103</v>
      </c>
      <c r="B113" s="152" t="s">
        <v>281</v>
      </c>
      <c r="C113" s="153">
        <f t="shared" si="12"/>
        <v>15.999999999999998</v>
      </c>
      <c r="D113" s="152" t="s">
        <v>281</v>
      </c>
      <c r="E113" s="153">
        <f t="shared" si="13"/>
        <v>15.999999999999998</v>
      </c>
      <c r="F113" s="154">
        <f t="shared" si="9"/>
        <v>0</v>
      </c>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row>
    <row r="114" spans="1:52">
      <c r="A114" s="151" t="s">
        <v>104</v>
      </c>
      <c r="B114" s="152" t="s">
        <v>281</v>
      </c>
      <c r="C114" s="153">
        <f t="shared" si="12"/>
        <v>17.599999999999998</v>
      </c>
      <c r="D114" s="152" t="s">
        <v>281</v>
      </c>
      <c r="E114" s="153">
        <f t="shared" si="13"/>
        <v>17.599999999999998</v>
      </c>
      <c r="F114" s="154">
        <f t="shared" si="9"/>
        <v>0</v>
      </c>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row>
    <row r="115" spans="1:52">
      <c r="A115" s="151" t="s">
        <v>105</v>
      </c>
      <c r="B115" s="152" t="s">
        <v>281</v>
      </c>
      <c r="C115" s="153">
        <f t="shared" si="12"/>
        <v>19.2</v>
      </c>
      <c r="D115" s="152" t="s">
        <v>281</v>
      </c>
      <c r="E115" s="153">
        <f t="shared" si="13"/>
        <v>19.2</v>
      </c>
      <c r="F115" s="154">
        <f t="shared" si="9"/>
        <v>0</v>
      </c>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row>
    <row r="116" spans="1:52">
      <c r="A116" s="151" t="s">
        <v>106</v>
      </c>
      <c r="B116" s="152" t="s">
        <v>281</v>
      </c>
      <c r="C116" s="153">
        <f t="shared" si="12"/>
        <v>20.8</v>
      </c>
      <c r="D116" s="152" t="s">
        <v>281</v>
      </c>
      <c r="E116" s="153">
        <f t="shared" si="13"/>
        <v>20.8</v>
      </c>
      <c r="F116" s="154">
        <f t="shared" si="9"/>
        <v>0</v>
      </c>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row>
    <row r="117" spans="1:52">
      <c r="A117" s="151" t="s">
        <v>107</v>
      </c>
      <c r="B117" s="152" t="s">
        <v>281</v>
      </c>
      <c r="C117" s="153">
        <f t="shared" si="12"/>
        <v>22.400000000000002</v>
      </c>
      <c r="D117" s="152" t="s">
        <v>281</v>
      </c>
      <c r="E117" s="153">
        <f t="shared" si="13"/>
        <v>22.400000000000002</v>
      </c>
      <c r="F117" s="154">
        <f t="shared" si="9"/>
        <v>0</v>
      </c>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row>
    <row r="118" spans="1:52">
      <c r="A118" s="151" t="s">
        <v>108</v>
      </c>
      <c r="B118" s="152" t="s">
        <v>281</v>
      </c>
      <c r="C118" s="153">
        <f t="shared" si="12"/>
        <v>24.000000000000004</v>
      </c>
      <c r="D118" s="152" t="s">
        <v>281</v>
      </c>
      <c r="E118" s="153">
        <f t="shared" si="13"/>
        <v>24.000000000000004</v>
      </c>
      <c r="F118" s="154">
        <f t="shared" si="9"/>
        <v>0</v>
      </c>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row>
    <row r="119" spans="1:52">
      <c r="A119" s="151" t="s">
        <v>109</v>
      </c>
      <c r="B119" s="152" t="s">
        <v>281</v>
      </c>
      <c r="C119" s="153">
        <f t="shared" si="12"/>
        <v>25.600000000000005</v>
      </c>
      <c r="D119" s="152" t="s">
        <v>281</v>
      </c>
      <c r="E119" s="153">
        <f t="shared" si="13"/>
        <v>25.600000000000005</v>
      </c>
      <c r="F119" s="154">
        <f t="shared" si="9"/>
        <v>0</v>
      </c>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row>
    <row r="120" spans="1:52">
      <c r="A120" s="151" t="s">
        <v>110</v>
      </c>
      <c r="B120" s="152" t="s">
        <v>281</v>
      </c>
      <c r="C120" s="153">
        <f t="shared" si="12"/>
        <v>27.200000000000006</v>
      </c>
      <c r="D120" s="152" t="s">
        <v>281</v>
      </c>
      <c r="E120" s="153">
        <f t="shared" si="13"/>
        <v>27.200000000000006</v>
      </c>
      <c r="F120" s="154">
        <f t="shared" si="9"/>
        <v>0</v>
      </c>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row>
    <row r="121" spans="1:52">
      <c r="A121" s="151" t="s">
        <v>111</v>
      </c>
      <c r="B121" s="152" t="s">
        <v>281</v>
      </c>
      <c r="C121" s="153">
        <f t="shared" si="12"/>
        <v>28.800000000000008</v>
      </c>
      <c r="D121" s="152" t="s">
        <v>281</v>
      </c>
      <c r="E121" s="153">
        <f t="shared" si="13"/>
        <v>28.800000000000008</v>
      </c>
      <c r="F121" s="154">
        <f t="shared" si="9"/>
        <v>0</v>
      </c>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row>
    <row r="122" spans="1:52">
      <c r="A122" s="151" t="s">
        <v>112</v>
      </c>
      <c r="B122" s="152" t="s">
        <v>281</v>
      </c>
      <c r="C122" s="153">
        <f t="shared" si="12"/>
        <v>30.400000000000009</v>
      </c>
      <c r="D122" s="152" t="s">
        <v>281</v>
      </c>
      <c r="E122" s="153">
        <f t="shared" si="13"/>
        <v>30.400000000000009</v>
      </c>
      <c r="F122" s="154">
        <f t="shared" si="9"/>
        <v>0</v>
      </c>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row>
    <row r="123" spans="1:52">
      <c r="A123" s="151" t="s">
        <v>113</v>
      </c>
      <c r="B123" s="152" t="s">
        <v>281</v>
      </c>
      <c r="C123" s="153">
        <f t="shared" si="12"/>
        <v>32.000000000000007</v>
      </c>
      <c r="D123" s="152" t="s">
        <v>281</v>
      </c>
      <c r="E123" s="153">
        <f t="shared" si="13"/>
        <v>32.000000000000007</v>
      </c>
      <c r="F123" s="154">
        <f t="shared" si="9"/>
        <v>0</v>
      </c>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row>
    <row r="124" spans="1:52">
      <c r="A124" s="143"/>
      <c r="B124" s="144"/>
      <c r="C124" s="145"/>
      <c r="D124" s="144"/>
      <c r="E124" s="145"/>
      <c r="F124" s="146"/>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row>
    <row r="125" spans="1:52">
      <c r="A125" s="143"/>
      <c r="B125" s="144"/>
      <c r="C125" s="145"/>
      <c r="D125" s="144"/>
      <c r="E125" s="145"/>
      <c r="F125" s="146"/>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row>
    <row r="126" spans="1:52">
      <c r="A126" s="143"/>
      <c r="B126" s="144"/>
      <c r="C126" s="145"/>
      <c r="D126" s="144"/>
      <c r="E126" s="145"/>
      <c r="F126" s="146"/>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row>
    <row r="127" spans="1:52">
      <c r="A127" s="143"/>
      <c r="B127" s="144"/>
      <c r="C127" s="145"/>
      <c r="D127" s="144"/>
      <c r="E127" s="145"/>
      <c r="F127" s="146"/>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row>
    <row r="128" spans="1:52">
      <c r="A128" s="143"/>
      <c r="B128" s="144"/>
      <c r="C128" s="145"/>
      <c r="D128" s="144"/>
      <c r="E128" s="145"/>
      <c r="F128" s="146"/>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row>
    <row r="129" spans="1:52">
      <c r="A129" s="143"/>
      <c r="B129" s="144"/>
      <c r="C129" s="145"/>
      <c r="D129" s="144"/>
      <c r="E129" s="145"/>
      <c r="F129" s="146"/>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row>
    <row r="130" spans="1:52">
      <c r="A130" s="143"/>
      <c r="B130" s="144"/>
      <c r="C130" s="145"/>
      <c r="D130" s="144"/>
      <c r="E130" s="145"/>
      <c r="F130" s="146"/>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row>
    <row r="131" spans="1:52">
      <c r="A131" s="143"/>
      <c r="B131" s="144"/>
      <c r="C131" s="145"/>
      <c r="D131" s="144"/>
      <c r="E131" s="145"/>
      <c r="F131" s="146"/>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row>
    <row r="132" spans="1:52">
      <c r="A132" s="143"/>
      <c r="B132" s="144"/>
      <c r="C132" s="145"/>
      <c r="D132" s="144"/>
      <c r="E132" s="145"/>
      <c r="F132" s="146"/>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row>
    <row r="133" spans="1:52">
      <c r="A133" s="143"/>
      <c r="B133" s="144"/>
      <c r="C133" s="145"/>
      <c r="D133" s="144"/>
      <c r="E133" s="145"/>
      <c r="F133" s="146"/>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row>
    <row r="134" spans="1:52">
      <c r="A134" s="143"/>
      <c r="B134" s="144"/>
      <c r="C134" s="145"/>
      <c r="D134" s="144"/>
      <c r="E134" s="145"/>
      <c r="F134" s="146"/>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row>
    <row r="135" spans="1:52">
      <c r="A135" s="143"/>
      <c r="B135" s="144"/>
      <c r="C135" s="145"/>
      <c r="D135" s="144"/>
      <c r="E135" s="145"/>
      <c r="F135" s="146"/>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row>
    <row r="136" spans="1:52">
      <c r="A136" s="143"/>
      <c r="B136" s="144"/>
      <c r="C136" s="145"/>
      <c r="D136" s="144"/>
      <c r="E136" s="145"/>
      <c r="F136" s="146"/>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row>
    <row r="137" spans="1:52">
      <c r="A137" s="143"/>
      <c r="B137" s="144"/>
      <c r="C137" s="145"/>
      <c r="D137" s="144"/>
      <c r="E137" s="145"/>
      <c r="F137" s="146"/>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row>
    <row r="138" spans="1:52">
      <c r="A138" s="143"/>
      <c r="B138" s="144"/>
      <c r="C138" s="145"/>
      <c r="D138" s="144"/>
      <c r="E138" s="145"/>
      <c r="F138" s="146"/>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row>
    <row r="139" spans="1:52">
      <c r="A139" s="143"/>
      <c r="B139" s="144"/>
      <c r="C139" s="145"/>
      <c r="D139" s="144"/>
      <c r="E139" s="145"/>
      <c r="F139" s="146"/>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row>
    <row r="140" spans="1:52">
      <c r="A140" s="143"/>
      <c r="B140" s="144"/>
      <c r="C140" s="145"/>
      <c r="D140" s="144"/>
      <c r="E140" s="145"/>
      <c r="F140" s="146"/>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row>
    <row r="141" spans="1:52">
      <c r="A141" s="143"/>
      <c r="B141" s="144"/>
      <c r="C141" s="145"/>
      <c r="D141" s="144"/>
      <c r="E141" s="145"/>
      <c r="F141" s="146"/>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row>
    <row r="142" spans="1:52">
      <c r="A142" s="143"/>
      <c r="B142" s="144"/>
      <c r="C142" s="145"/>
      <c r="D142" s="144"/>
      <c r="E142" s="145"/>
      <c r="F142" s="146"/>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row>
    <row r="143" spans="1:52">
      <c r="A143" s="143"/>
      <c r="B143" s="144"/>
      <c r="C143" s="145"/>
      <c r="D143" s="144"/>
      <c r="E143" s="145"/>
      <c r="F143" s="146"/>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row>
    <row r="144" spans="1:52">
      <c r="A144" s="143"/>
      <c r="B144" s="144"/>
      <c r="C144" s="145"/>
      <c r="D144" s="144"/>
      <c r="E144" s="145"/>
      <c r="F144" s="146"/>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row>
    <row r="145" spans="1:52">
      <c r="A145" s="143"/>
      <c r="B145" s="144"/>
      <c r="C145" s="145"/>
      <c r="D145" s="144"/>
      <c r="E145" s="145"/>
      <c r="F145" s="146"/>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row>
    <row r="146" spans="1:52">
      <c r="A146" s="143"/>
      <c r="B146" s="144"/>
      <c r="C146" s="145"/>
      <c r="D146" s="144"/>
      <c r="E146" s="145"/>
      <c r="F146" s="146"/>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row>
    <row r="147" spans="1:52">
      <c r="A147" s="143"/>
      <c r="B147" s="144"/>
      <c r="C147" s="145"/>
      <c r="D147" s="144"/>
      <c r="E147" s="145"/>
      <c r="F147" s="146"/>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row>
    <row r="148" spans="1:52">
      <c r="A148" s="143"/>
      <c r="B148" s="144"/>
      <c r="C148" s="145"/>
      <c r="D148" s="144"/>
      <c r="E148" s="145"/>
      <c r="F148" s="146"/>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row>
    <row r="149" spans="1:52">
      <c r="A149" s="143"/>
      <c r="B149" s="144"/>
      <c r="C149" s="145"/>
      <c r="D149" s="144"/>
      <c r="E149" s="145"/>
      <c r="F149" s="146"/>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row>
    <row r="150" spans="1:52">
      <c r="A150" s="143"/>
      <c r="B150" s="144"/>
      <c r="C150" s="145"/>
      <c r="D150" s="144"/>
      <c r="E150" s="145"/>
      <c r="F150" s="146"/>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row>
  </sheetData>
  <sheetProtection algorithmName="SHA-512" hashValue="N6sizafVtYCmVF6/gxJD1A1KxRUIVX+D8zgPSbafuy/HePdfL24s2GFIARioNvNoO15svDUQldIvRQkzFmpLgQ==" saltValue="w7pFXags/eEic3HTIFAxPw==" spinCount="100000" sheet="1" autoFilter="0"/>
  <dataValidations count="1">
    <dataValidation type="list" allowBlank="1" showInputMessage="1" showErrorMessage="1" sqref="B1:B1048576" xr:uid="{14DB3722-2784-4BAB-A5A1-630FC78688AA}">
      <formula1>$B$3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5029-0842-4A26-8903-780ECAD564D7}">
  <dimension ref="B2:AR53"/>
  <sheetViews>
    <sheetView zoomScale="85" zoomScaleNormal="85" workbookViewId="0">
      <selection sqref="A1:XFD1048576"/>
    </sheetView>
  </sheetViews>
  <sheetFormatPr defaultRowHeight="14.45"/>
  <cols>
    <col min="2" max="2" width="52.28515625" bestFit="1" customWidth="1"/>
    <col min="3" max="3" width="18.140625" bestFit="1" customWidth="1"/>
    <col min="4" max="4" width="23" bestFit="1" customWidth="1"/>
    <col min="5" max="5" width="11.5703125" bestFit="1" customWidth="1"/>
    <col min="6" max="6" width="21.7109375" bestFit="1" customWidth="1"/>
    <col min="8" max="8" width="52.28515625" bestFit="1" customWidth="1"/>
    <col min="9" max="9" width="20.42578125" bestFit="1" customWidth="1"/>
    <col min="10" max="10" width="25.28515625" bestFit="1" customWidth="1"/>
    <col min="11" max="11" width="13.85546875" bestFit="1" customWidth="1"/>
    <col min="12" max="12" width="24" bestFit="1" customWidth="1"/>
    <col min="14" max="14" width="52.28515625" bestFit="1" customWidth="1"/>
    <col min="15" max="15" width="18.140625" bestFit="1" customWidth="1"/>
    <col min="16" max="16" width="23" bestFit="1" customWidth="1"/>
    <col min="17" max="17" width="11.5703125" bestFit="1" customWidth="1"/>
    <col min="18" max="18" width="21.7109375" bestFit="1" customWidth="1"/>
    <col min="19" max="19" width="17.28515625" bestFit="1" customWidth="1"/>
    <col min="20" max="20" width="17.5703125" bestFit="1" customWidth="1"/>
    <col min="21" max="21" width="8" bestFit="1" customWidth="1"/>
    <col min="23" max="44" width="9.140625" hidden="1" customWidth="1"/>
  </cols>
  <sheetData>
    <row r="2" spans="2:44">
      <c r="B2" s="19" t="s">
        <v>115</v>
      </c>
      <c r="C2" s="14" t="s">
        <v>176</v>
      </c>
      <c r="D2" s="14" t="s">
        <v>177</v>
      </c>
      <c r="E2" s="14" t="s">
        <v>282</v>
      </c>
      <c r="F2" s="15" t="s">
        <v>179</v>
      </c>
      <c r="H2" s="69" t="s">
        <v>115</v>
      </c>
      <c r="I2" s="69" t="s">
        <v>176</v>
      </c>
      <c r="J2" s="69" t="s">
        <v>177</v>
      </c>
      <c r="K2" s="69" t="s">
        <v>282</v>
      </c>
      <c r="L2" s="69" t="s">
        <v>179</v>
      </c>
      <c r="N2" s="21" t="s">
        <v>115</v>
      </c>
      <c r="O2" s="22" t="s">
        <v>176</v>
      </c>
      <c r="P2" s="22" t="s">
        <v>177</v>
      </c>
      <c r="Q2" s="22" t="s">
        <v>282</v>
      </c>
      <c r="R2" s="22" t="s">
        <v>179</v>
      </c>
      <c r="S2" s="22" t="s">
        <v>283</v>
      </c>
      <c r="T2" s="22" t="s">
        <v>284</v>
      </c>
      <c r="U2" s="23" t="s">
        <v>285</v>
      </c>
      <c r="AB2" s="18"/>
      <c r="AC2" s="18" t="str" cm="1">
        <f t="array" aca="1" ref="AC2" ca="1">TRANSPOSE(_xlfn._xlws.FILTER($H$3:INDEX($H$3:$H$32, COUNTA($H$3:$H$32)), $H$3:INDEX($H$3:$H$32, COUNTA($H$3:$H$32))&lt;&gt;""))</f>
        <v>Stone Dam&lt;1m (1 unit)</v>
      </c>
      <c r="AD2" s="18"/>
      <c r="AE2" s="18"/>
      <c r="AF2" s="18"/>
      <c r="AG2" s="18"/>
      <c r="AH2" s="18"/>
      <c r="AI2" s="18"/>
      <c r="AJ2" s="18"/>
      <c r="AK2" s="18"/>
      <c r="AL2" s="18"/>
      <c r="AM2" s="18"/>
      <c r="AN2" s="18"/>
      <c r="AO2" s="18"/>
      <c r="AP2" s="18"/>
      <c r="AQ2" s="18"/>
      <c r="AR2" s="18"/>
    </row>
    <row r="3" spans="2:44">
      <c r="B3" s="77" t="str" cm="1">
        <f t="array" ref="B3:B12">IF('Carbon Costs Calculator'!D5:D14 = 0, "", 'Carbon Costs Calculator'!D5:D14)</f>
        <v>Stone Dam&lt;1m (1 unit)</v>
      </c>
      <c r="C3" s="78" cm="1">
        <f t="array" ref="C3:C12">IF('Carbon Costs Calculator'!E5:E14=0,"",'Carbon Costs Calculator'!E5:E14/1000)</f>
        <v>36.458036440000001</v>
      </c>
      <c r="D3" s="78" cm="1">
        <f t="array" ref="D3:D12">IF('Carbon Costs Calculator'!G5:G14=0,"",'Carbon Costs Calculator'!G5:G14/1000)</f>
        <v>0.6910695</v>
      </c>
      <c r="E3" s="78" cm="1">
        <f t="array" ref="E3:E12">IF('Carbon Costs Calculator'!AO5:AO14=0, 0, 'Carbon Costs Calculator'!AO5:AO14/1000)</f>
        <v>29.836800000000004</v>
      </c>
      <c r="F3" s="79">
        <f>Outputs!AD23</f>
        <v>0</v>
      </c>
      <c r="H3" s="91" t="str" cm="1">
        <f t="array" ref="H3">IFERROR(IF(ROWS($H$3:H3)&lt;=SUMPRODUCT(--(($C$3:$C$32&lt;&gt;"") + ($E$3:$E$32&lt;&gt;""))), INDEX($B$3:$B$32, SMALL(IF(($C$3:$C$32&lt;&gt;"") + ($E$3:$E$32&lt;&gt;""), ROW($C$3:$C$32)-ROW($C$3)+1), ROWS($H$3:H3))), ""), "")</f>
        <v>Stone Dam&lt;1m (1 unit)</v>
      </c>
      <c r="I3" s="24">
        <f>IF(H3&lt;&gt;"", INDEX($C$3:$C$32, MATCH(H3, $B$3:$B$32, 0)), "")</f>
        <v>36.458036440000001</v>
      </c>
      <c r="J3" s="24">
        <f>IF(H3&lt;&gt;"", INDEX($D$3:$D$32, MATCH(H3, $B$3:$B$32, 0)), "")</f>
        <v>0.6910695</v>
      </c>
      <c r="K3" s="24">
        <f>IF(H3&lt;&gt;"", INDEX($E$3:$E$32, MATCH(H3, $B$3:$B$32, 0)), "")</f>
        <v>29.836800000000004</v>
      </c>
      <c r="L3" s="93">
        <f>Outputs!AD23</f>
        <v>0</v>
      </c>
      <c r="N3" t="str" cm="1">
        <f t="array" aca="1" ref="N3" ca="1">IFERROR(_xlfn._xlws.FILTER($H$3:INDEX($H$3:$H$32, COUNTA($H$3:$H$32)), $H$3:INDEX($H$3:$H$32, COUNTA($H$3:$H$32))&lt;&gt;""), "")</f>
        <v>Stone Dam&lt;1m (1 unit)</v>
      </c>
      <c r="O3" s="2" cm="1">
        <f t="array" aca="1" ref="O3" ca="1">IFERROR(_xlfn._xlws.FILTER($I$3:INDEX($I$3:$I$32, COUNTA($H$3:$H$32)), $H$3:INDEX($H$3:$H$32, COUNTA($H$3:$H$32))&lt;&gt;""), "")</f>
        <v>36.458036440000001</v>
      </c>
      <c r="P3" s="2" cm="1">
        <f t="array" aca="1" ref="P3" ca="1">IFERROR(_xlfn._xlws.FILTER($J$3:INDEX($J$3:$J$32, COUNTA($H$3:$H$32)), $H$3:INDEX($H$3:$H$32, COUNTA($H$3:$H$32))&lt;&gt;""), "")</f>
        <v>0.6910695</v>
      </c>
      <c r="Q3" s="2" cm="1">
        <f t="array" aca="1" ref="Q3" ca="1">IFERROR(_xlfn._xlws.FILTER($K$3:INDEX($K$3:$K$32, COUNTA($H$3:$H$32)), $H$3:INDEX($H$3:$H$32, COUNTA($H$3:$H$32))&lt;&gt;""), "")</f>
        <v>29.836800000000004</v>
      </c>
      <c r="R3" s="2">
        <f>F3</f>
        <v>0</v>
      </c>
      <c r="S3" s="2" cm="1">
        <f t="array" aca="1" ref="S3" ca="1">IF(ISBLANK($N3), "", SUM(_xlfn._xlws.FILTER(O3:Q3, NOT(ISBLANK($O3:$Q3)))))</f>
        <v>66.985905940000009</v>
      </c>
      <c r="T3" s="17" t="str" cm="1">
        <f t="array" aca="1" ref="T3:T32" ca="1">IF(ISNUMBER(S3:S32), "0.00", "")</f>
        <v>0.00</v>
      </c>
      <c r="U3" s="17" t="str" cm="1">
        <f t="array" aca="1" ref="U3" ca="1">IFERROR(_xlfn._xlws.FILTER($T$3:INDEX($T$3:$T$32, COUNTA($N$3:$N$32)), $N$3:INDEX($N$3:$N$32, COUNTA($N$3:$N$32))&lt;&gt;""), "")</f>
        <v>0.00</v>
      </c>
      <c r="W3" t="s">
        <v>102</v>
      </c>
      <c r="X3">
        <f ca="1">SUM(AC3:AR3)</f>
        <v>36.458036440000001</v>
      </c>
      <c r="Y3" t="s">
        <v>286</v>
      </c>
      <c r="Z3">
        <v>0</v>
      </c>
      <c r="AB3" t="s">
        <v>176</v>
      </c>
      <c r="AC3" cm="1">
        <f t="array" aca="1" ref="AC3" ca="1">TRANSPOSE(_xlfn._xlws.FILTER($I$3:INDEX($I$3:$I$32, COUNTA($H$3:$H$32)), $H$3:INDEX($H$3:$H$32, COUNTA($H$3:$H$32))&lt;&gt;""))</f>
        <v>36.458036440000001</v>
      </c>
      <c r="AF3" s="16"/>
      <c r="AH3" s="16"/>
      <c r="AL3" s="16"/>
      <c r="AN3" s="16"/>
    </row>
    <row r="4" spans="2:44">
      <c r="B4" s="80" t="str">
        <v/>
      </c>
      <c r="C4" s="81" t="str">
        <v/>
      </c>
      <c r="D4" s="81" t="str">
        <v/>
      </c>
      <c r="E4" s="81">
        <v>0</v>
      </c>
      <c r="F4" s="82"/>
      <c r="H4" s="179" t="str" cm="1">
        <f t="array" ref="H4">IFERROR(IF(ROWS($H$3:H4)&lt;=SUMPRODUCT(--(($C$3:$C$32&lt;&gt;"") + ($E$3:$E$32&lt;&gt;""))), INDEX($B$3:$B$32, SMALL(IF(($C$3:$C$32&lt;&gt;"") + ($E$3:$E$32&lt;&gt;""), ROW($C$3:$C$32)-ROW($C$3)+1), ROWS($H$3:H4))), ""), "")</f>
        <v/>
      </c>
      <c r="I4" s="180" t="str">
        <f t="shared" ref="I4:I32" si="0">IF(H4&lt;&gt;"", INDEX($C$3:$C$32, MATCH(H4, $B$3:$B$32, 0)), "")</f>
        <v/>
      </c>
      <c r="J4" s="180" t="str">
        <f t="shared" ref="J4:J32" si="1">IF(H4&lt;&gt;"", INDEX($D$3:$D$32, MATCH(H4, $B$3:$B$32, 0)), "")</f>
        <v/>
      </c>
      <c r="K4" s="180" t="str">
        <f t="shared" ref="K4:K32" si="2">IF(H4&lt;&gt;"", INDEX($E$3:$E$32, MATCH(H4, $B$3:$B$32, 0)), "")</f>
        <v/>
      </c>
      <c r="L4" s="181"/>
      <c r="O4" s="2"/>
      <c r="P4" s="2"/>
      <c r="Q4" s="2"/>
      <c r="R4" s="2"/>
      <c r="S4" s="2" t="str" cm="1">
        <f t="array" ref="S4">IF(ISBLANK($N4), "", SUM(_xlfn._xlws.FILTER(O4:Q4, NOT(ISBLANK($O4:$Q4)))))</f>
        <v/>
      </c>
      <c r="T4" s="17" t="str">
        <f ca="1"/>
        <v/>
      </c>
      <c r="U4" s="17"/>
      <c r="W4" t="s">
        <v>102</v>
      </c>
      <c r="X4">
        <f ca="1">SUM(AC4:AR4)</f>
        <v>0.6910695</v>
      </c>
      <c r="Y4" t="s">
        <v>286</v>
      </c>
      <c r="Z4">
        <v>0</v>
      </c>
      <c r="AB4" t="s">
        <v>177</v>
      </c>
      <c r="AC4" cm="1">
        <f t="array" aca="1" ref="AC4" ca="1">TRANSPOSE(_xlfn._xlws.FILTER($J$3:INDEX($J$3:$J$32, COUNTA($H$3:$H$32)), $H$3:INDEX($H$3:$H$32, COUNTA($H$3:$H$32))&lt;&gt;""))</f>
        <v>0.6910695</v>
      </c>
    </row>
    <row r="5" spans="2:44">
      <c r="B5" s="77" t="str">
        <v/>
      </c>
      <c r="C5" s="78" t="str">
        <v/>
      </c>
      <c r="D5" s="78" t="str">
        <v/>
      </c>
      <c r="E5" s="78">
        <v>0</v>
      </c>
      <c r="F5" s="79"/>
      <c r="H5" s="91" t="str" cm="1">
        <f t="array" ref="H5">IFERROR(IF(ROWS($H$3:H5)&lt;=SUMPRODUCT(--(($C$3:$C$32&lt;&gt;"") + ($E$3:$E$32&lt;&gt;""))), INDEX($B$3:$B$32, SMALL(IF(($C$3:$C$32&lt;&gt;"") + ($E$3:$E$32&lt;&gt;""), ROW($C$3:$C$32)-ROW($C$3)+1), ROWS($H$3:H5))), ""), "")</f>
        <v/>
      </c>
      <c r="I5" s="24" t="str">
        <f t="shared" si="0"/>
        <v/>
      </c>
      <c r="J5" s="24" t="str">
        <f t="shared" si="1"/>
        <v/>
      </c>
      <c r="K5" s="24" t="str">
        <f t="shared" si="2"/>
        <v/>
      </c>
      <c r="L5" s="93"/>
      <c r="O5" s="2"/>
      <c r="P5" s="2"/>
      <c r="Q5" s="2"/>
      <c r="R5" s="2"/>
      <c r="S5" s="2" t="str" cm="1">
        <f t="array" ref="S5">IF(ISBLANK($N5), "", SUM(_xlfn._xlws.FILTER(O5:Q5, NOT(ISBLANK($O5:$Q5)))))</f>
        <v/>
      </c>
      <c r="T5" s="17" t="str">
        <f ca="1"/>
        <v/>
      </c>
      <c r="U5" s="17"/>
      <c r="W5" t="s">
        <v>102</v>
      </c>
      <c r="X5">
        <f ca="1">SUM(AC5:AR5)</f>
        <v>29.836800000000004</v>
      </c>
      <c r="Y5" t="s">
        <v>286</v>
      </c>
      <c r="Z5">
        <v>0</v>
      </c>
      <c r="AB5" t="s">
        <v>282</v>
      </c>
      <c r="AC5" cm="1">
        <f t="array" aca="1" ref="AC5" ca="1">TRANSPOSE(_xlfn._xlws.FILTER($K$3:INDEX($K$3:$K$32, COUNTA($H$3:$H$32)), $H$3:INDEX($H$3:$H$32, COUNTA($H$3:$H$32))&lt;&gt;""))</f>
        <v>29.836800000000004</v>
      </c>
    </row>
    <row r="6" spans="2:44">
      <c r="B6" s="80" t="str">
        <v/>
      </c>
      <c r="C6" s="81" t="str">
        <v/>
      </c>
      <c r="D6" s="81" t="str">
        <v/>
      </c>
      <c r="E6" s="81">
        <v>0</v>
      </c>
      <c r="F6" s="82"/>
      <c r="H6" s="179" t="str" cm="1">
        <f t="array" ref="H6">IFERROR(IF(ROWS($H$3:H6)&lt;=SUMPRODUCT(--(($C$3:$C$32&lt;&gt;"") + ($E$3:$E$32&lt;&gt;""))), INDEX($B$3:$B$32, SMALL(IF(($C$3:$C$32&lt;&gt;"") + ($E$3:$E$32&lt;&gt;""), ROW($C$3:$C$32)-ROW($C$3)+1), ROWS($H$3:H6))), ""), "")</f>
        <v/>
      </c>
      <c r="I6" s="180" t="str">
        <f t="shared" si="0"/>
        <v/>
      </c>
      <c r="J6" s="180" t="str">
        <f t="shared" si="1"/>
        <v/>
      </c>
      <c r="K6" s="180" t="str">
        <f t="shared" si="2"/>
        <v/>
      </c>
      <c r="L6" s="181"/>
      <c r="O6" s="2"/>
      <c r="P6" s="2"/>
      <c r="Q6" s="2"/>
      <c r="R6" s="2"/>
      <c r="S6" s="2" t="str" cm="1">
        <f t="array" ref="S6">IF(ISBLANK($N6), "", SUM(_xlfn._xlws.FILTER(O6:Q6, NOT(ISBLANK($O6:$Q6)))))</f>
        <v/>
      </c>
      <c r="T6" s="17" t="str">
        <f ca="1"/>
        <v/>
      </c>
      <c r="U6" s="17"/>
    </row>
    <row r="7" spans="2:44">
      <c r="B7" s="83" t="str">
        <v/>
      </c>
      <c r="C7" s="84" t="str">
        <v/>
      </c>
      <c r="D7" s="84" t="str">
        <v/>
      </c>
      <c r="E7" s="84">
        <v>0</v>
      </c>
      <c r="F7" s="85"/>
      <c r="H7" s="91" t="str" cm="1">
        <f t="array" ref="H7">IFERROR(IF(ROWS($H$3:H7)&lt;=SUMPRODUCT(--(($C$3:$C$32&lt;&gt;"") + ($E$3:$E$32&lt;&gt;""))), INDEX($B$3:$B$32, SMALL(IF(($C$3:$C$32&lt;&gt;"") + ($E$3:$E$32&lt;&gt;""), ROW($C$3:$C$32)-ROW($C$3)+1), ROWS($H$3:H7))), ""), "")</f>
        <v/>
      </c>
      <c r="I7" s="24" t="str">
        <f t="shared" si="0"/>
        <v/>
      </c>
      <c r="J7" s="24" t="str">
        <f t="shared" si="1"/>
        <v/>
      </c>
      <c r="K7" s="24" t="str">
        <f t="shared" si="2"/>
        <v/>
      </c>
      <c r="L7" s="94"/>
      <c r="O7" s="2"/>
      <c r="P7" s="2"/>
      <c r="Q7" s="2"/>
      <c r="R7" s="2"/>
      <c r="S7" s="2" t="str" cm="1">
        <f t="array" ref="S7">IF(ISBLANK($N7), "", SUM(_xlfn._xlws.FILTER(O7:Q7, NOT(ISBLANK($O7:$Q7)))))</f>
        <v/>
      </c>
      <c r="T7" s="17" t="str">
        <f ca="1"/>
        <v/>
      </c>
      <c r="U7" s="17"/>
    </row>
    <row r="8" spans="2:44">
      <c r="B8" s="80" t="str">
        <v/>
      </c>
      <c r="C8" s="81" t="str">
        <v/>
      </c>
      <c r="D8" s="81" t="str">
        <v/>
      </c>
      <c r="E8" s="81">
        <v>0</v>
      </c>
      <c r="F8" s="82"/>
      <c r="H8" s="179" t="str" cm="1">
        <f t="array" ref="H8">IFERROR(IF(ROWS($H$3:H8)&lt;=SUMPRODUCT(--(($C$3:$C$32&lt;&gt;"") + ($E$3:$E$32&lt;&gt;""))), INDEX($B$3:$B$32, SMALL(IF(($C$3:$C$32&lt;&gt;"") + ($E$3:$E$32&lt;&gt;""), ROW($C$3:$C$32)-ROW($C$3)+1), ROWS($H$3:H8))), ""), "")</f>
        <v/>
      </c>
      <c r="I8" s="180" t="str">
        <f t="shared" si="0"/>
        <v/>
      </c>
      <c r="J8" s="180" t="str">
        <f t="shared" si="1"/>
        <v/>
      </c>
      <c r="K8" s="180" t="str">
        <f t="shared" si="2"/>
        <v/>
      </c>
      <c r="L8" s="181"/>
      <c r="O8" s="2"/>
      <c r="P8" s="2"/>
      <c r="Q8" s="2"/>
      <c r="R8" s="2"/>
      <c r="S8" s="2" t="str" cm="1">
        <f t="array" ref="S8">IF(ISBLANK($N8), "", SUM(_xlfn._xlws.FILTER(O8:Q8, NOT(ISBLANK($O8:$Q8)))))</f>
        <v/>
      </c>
      <c r="T8" s="17" t="str">
        <f ca="1"/>
        <v/>
      </c>
      <c r="U8" s="17"/>
    </row>
    <row r="9" spans="2:44">
      <c r="B9" s="77" t="str">
        <v/>
      </c>
      <c r="C9" s="78" t="str">
        <v/>
      </c>
      <c r="D9" s="78" t="str">
        <v/>
      </c>
      <c r="E9" s="78">
        <v>0</v>
      </c>
      <c r="F9" s="79"/>
      <c r="H9" s="91" t="str" cm="1">
        <f t="array" ref="H9">IFERROR(IF(ROWS($H$3:H9)&lt;=SUMPRODUCT(--(($C$3:$C$32&lt;&gt;"") + ($E$3:$E$32&lt;&gt;""))), INDEX($B$3:$B$32, SMALL(IF(($C$3:$C$32&lt;&gt;"") + ($E$3:$E$32&lt;&gt;""), ROW($C$3:$C$32)-ROW($C$3)+1), ROWS($H$3:H9))), ""), "")</f>
        <v/>
      </c>
      <c r="I9" s="24" t="str">
        <f t="shared" si="0"/>
        <v/>
      </c>
      <c r="J9" s="24" t="str">
        <f t="shared" si="1"/>
        <v/>
      </c>
      <c r="K9" s="24" t="str">
        <f t="shared" si="2"/>
        <v/>
      </c>
      <c r="L9" s="93"/>
      <c r="O9" s="2"/>
      <c r="P9" s="2"/>
      <c r="Q9" s="2"/>
      <c r="R9" s="2"/>
      <c r="S9" s="2" t="str" cm="1">
        <f t="array" ref="S9">IF(ISBLANK($N9), "", SUM(_xlfn._xlws.FILTER(O9:Q9, NOT(ISBLANK($O9:$Q9)))))</f>
        <v/>
      </c>
      <c r="T9" s="17" t="str">
        <f ca="1"/>
        <v/>
      </c>
      <c r="U9" s="17"/>
      <c r="AC9" s="17"/>
      <c r="AD9" s="17"/>
      <c r="AE9" s="17"/>
      <c r="AF9" s="17"/>
      <c r="AG9" s="17"/>
      <c r="AH9" s="17"/>
      <c r="AI9" s="17"/>
      <c r="AJ9" s="17"/>
      <c r="AK9" s="17"/>
      <c r="AL9" s="17"/>
      <c r="AM9" s="17"/>
      <c r="AN9" s="17"/>
      <c r="AO9" s="17"/>
      <c r="AP9" s="17" t="str">
        <f>S31</f>
        <v/>
      </c>
      <c r="AQ9" s="17" t="str">
        <f>S32</f>
        <v/>
      </c>
    </row>
    <row r="10" spans="2:44">
      <c r="B10" s="80" t="str">
        <v/>
      </c>
      <c r="C10" s="81" t="str">
        <v/>
      </c>
      <c r="D10" s="81" t="str">
        <v/>
      </c>
      <c r="E10" s="81">
        <v>0</v>
      </c>
      <c r="F10" s="82"/>
      <c r="H10" s="179" t="str" cm="1">
        <f t="array" ref="H10">IFERROR(IF(ROWS($H$3:H10)&lt;=SUMPRODUCT(--(($C$3:$C$32&lt;&gt;"") + ($E$3:$E$32&lt;&gt;""))), INDEX($B$3:$B$32, SMALL(IF(($C$3:$C$32&lt;&gt;"") + ($E$3:$E$32&lt;&gt;""), ROW($C$3:$C$32)-ROW($C$3)+1), ROWS($H$3:H10))), ""), "")</f>
        <v/>
      </c>
      <c r="I10" s="180" t="str">
        <f t="shared" si="0"/>
        <v/>
      </c>
      <c r="J10" s="180" t="str">
        <f t="shared" si="1"/>
        <v/>
      </c>
      <c r="K10" s="180" t="str">
        <f t="shared" si="2"/>
        <v/>
      </c>
      <c r="L10" s="182"/>
      <c r="O10" s="2"/>
      <c r="P10" s="2"/>
      <c r="Q10" s="2"/>
      <c r="R10" s="2"/>
      <c r="S10" s="2"/>
      <c r="T10" s="17" t="str">
        <f ca="1"/>
        <v/>
      </c>
      <c r="U10" s="17"/>
      <c r="AC10" s="17"/>
      <c r="AD10" s="17"/>
      <c r="AE10" s="17"/>
      <c r="AF10" s="17"/>
      <c r="AG10" s="17"/>
      <c r="AH10" s="17"/>
      <c r="AI10" s="17"/>
      <c r="AJ10" s="17"/>
      <c r="AK10" s="17"/>
      <c r="AL10" s="17"/>
      <c r="AM10" s="17"/>
      <c r="AN10" s="17"/>
      <c r="AO10" s="17"/>
      <c r="AP10" s="17"/>
      <c r="AQ10" s="17"/>
    </row>
    <row r="11" spans="2:44">
      <c r="B11" s="77" t="str">
        <v/>
      </c>
      <c r="C11" s="78" t="str">
        <v/>
      </c>
      <c r="D11" s="78" t="str">
        <v/>
      </c>
      <c r="E11" s="78">
        <v>0</v>
      </c>
      <c r="F11" s="79"/>
      <c r="H11" s="91" t="str" cm="1">
        <f t="array" ref="H11">IFERROR(IF(ROWS($H$3:H11)&lt;=SUMPRODUCT(--(($C$3:$C$32&lt;&gt;"") + ($E$3:$E$32&lt;&gt;""))), INDEX($B$3:$B$32, SMALL(IF(($C$3:$C$32&lt;&gt;"") + ($E$3:$E$32&lt;&gt;""), ROW($C$3:$C$32)-ROW($C$3)+1), ROWS($H$3:H11))), ""), "")</f>
        <v/>
      </c>
      <c r="I11" s="24" t="str">
        <f t="shared" si="0"/>
        <v/>
      </c>
      <c r="J11" s="24" t="str">
        <f t="shared" si="1"/>
        <v/>
      </c>
      <c r="K11" s="24" t="str">
        <f t="shared" si="2"/>
        <v/>
      </c>
      <c r="L11" s="93"/>
      <c r="O11" s="2"/>
      <c r="P11" s="2"/>
      <c r="Q11" s="2"/>
      <c r="R11" s="2"/>
      <c r="S11" s="2"/>
      <c r="T11" s="17" t="str">
        <f ca="1"/>
        <v/>
      </c>
      <c r="U11" s="17"/>
      <c r="AC11" s="17"/>
      <c r="AD11" s="17"/>
      <c r="AE11" s="17"/>
      <c r="AF11" s="17"/>
      <c r="AG11" s="17"/>
      <c r="AH11" s="17"/>
      <c r="AI11" s="17"/>
      <c r="AJ11" s="17"/>
      <c r="AK11" s="17"/>
      <c r="AL11" s="17"/>
      <c r="AM11" s="17"/>
      <c r="AN11" s="17"/>
      <c r="AO11" s="17"/>
      <c r="AP11" s="17"/>
      <c r="AQ11" s="17"/>
    </row>
    <row r="12" spans="2:44">
      <c r="B12" s="80" t="str">
        <v/>
      </c>
      <c r="C12" s="81" t="str">
        <v/>
      </c>
      <c r="D12" s="81" t="str">
        <v/>
      </c>
      <c r="E12" s="81">
        <v>0</v>
      </c>
      <c r="F12" s="82"/>
      <c r="H12" s="179" t="str" cm="1">
        <f t="array" ref="H12">IFERROR(IF(ROWS($H$3:H12)&lt;=SUMPRODUCT(--(($C$3:$C$32&lt;&gt;"") + ($E$3:$E$32&lt;&gt;""))), INDEX($B$3:$B$32, SMALL(IF(($C$3:$C$32&lt;&gt;"") + ($E$3:$E$32&lt;&gt;""), ROW($C$3:$C$32)-ROW($C$3)+1), ROWS($H$3:H12))), ""), "")</f>
        <v/>
      </c>
      <c r="I12" s="180" t="str">
        <f t="shared" si="0"/>
        <v/>
      </c>
      <c r="J12" s="180" t="str">
        <f t="shared" si="1"/>
        <v/>
      </c>
      <c r="K12" s="180" t="str">
        <f t="shared" si="2"/>
        <v/>
      </c>
      <c r="L12" s="182"/>
      <c r="O12" s="2"/>
      <c r="P12" s="2"/>
      <c r="Q12" s="2"/>
      <c r="R12" s="2"/>
      <c r="S12" s="2"/>
      <c r="T12" s="17" t="str">
        <f ca="1"/>
        <v/>
      </c>
      <c r="U12" s="17"/>
      <c r="AC12" s="17"/>
      <c r="AD12" s="17"/>
      <c r="AE12" s="17"/>
      <c r="AF12" s="17"/>
      <c r="AG12" s="17"/>
      <c r="AH12" s="17"/>
      <c r="AI12" s="17"/>
      <c r="AJ12" s="17"/>
      <c r="AK12" s="17"/>
      <c r="AL12" s="17"/>
      <c r="AM12" s="17"/>
      <c r="AN12" s="17"/>
      <c r="AO12" s="17"/>
      <c r="AP12" s="17"/>
      <c r="AQ12" s="17"/>
    </row>
    <row r="13" spans="2:44">
      <c r="B13" s="83" t="str" cm="1">
        <f t="array" ref="B13:B22">IF('Carbon Costs Calculator'!M5:M14 = 0, "", 'Carbon Costs Calculator'!M5:M14)</f>
        <v/>
      </c>
      <c r="C13" s="84" t="str" cm="1">
        <f t="array" ref="C13:C22">IF('Carbon Costs Calculator'!N5:N14=0,"",'Carbon Costs Calculator'!N5:N14/1000)</f>
        <v/>
      </c>
      <c r="D13" s="84" t="str" cm="1">
        <f t="array" ref="D13:D22">IF('Carbon Costs Calculator'!P5:P14=0,"",'Carbon Costs Calculator'!P5:P14/1000)</f>
        <v/>
      </c>
      <c r="E13" s="84" cm="1">
        <f t="array" ref="E13:E22">IF('Carbon Costs Calculator'!AO17:AO26=0, 0, 'Carbon Costs Calculator'!AO17:AO26/1000)</f>
        <v>0</v>
      </c>
      <c r="F13" s="85"/>
      <c r="H13" s="91" t="str" cm="1">
        <f t="array" ref="H13">IFERROR(IF(ROWS($H$3:H13)&lt;=SUMPRODUCT(--(($C$3:$C$32&lt;&gt;"") + ($E$3:$E$32&lt;&gt;""))), INDEX($B$3:$B$32, SMALL(IF(($C$3:$C$32&lt;&gt;"") + ($E$3:$E$32&lt;&gt;""), ROW($C$3:$C$32)-ROW($C$3)+1), ROWS($H$3:H13))), ""), "")</f>
        <v/>
      </c>
      <c r="I13" s="24" t="str">
        <f t="shared" si="0"/>
        <v/>
      </c>
      <c r="J13" s="24" t="str">
        <f t="shared" si="1"/>
        <v/>
      </c>
      <c r="K13" s="24" t="str">
        <f t="shared" si="2"/>
        <v/>
      </c>
      <c r="L13" s="94"/>
      <c r="O13" s="2"/>
      <c r="P13" s="2"/>
      <c r="Q13" s="2"/>
      <c r="R13" s="2"/>
      <c r="S13" s="2" t="str" cm="1">
        <f t="array" ref="S13">IF(ISBLANK($N13), "", SUM(_xlfn._xlws.FILTER(O13:Q13, NOT(ISBLANK($O13:$Q13)))))</f>
        <v/>
      </c>
      <c r="T13" s="17" t="str">
        <f ca="1"/>
        <v/>
      </c>
      <c r="U13" s="17"/>
    </row>
    <row r="14" spans="2:44">
      <c r="B14" s="80" t="str">
        <v/>
      </c>
      <c r="C14" s="81" t="str">
        <v/>
      </c>
      <c r="D14" s="81" t="str">
        <v/>
      </c>
      <c r="E14" s="81">
        <v>0</v>
      </c>
      <c r="F14" s="82"/>
      <c r="H14" s="179" t="str" cm="1">
        <f t="array" ref="H14">IFERROR(IF(ROWS($H$3:H14)&lt;=SUMPRODUCT(--(($C$3:$C$32&lt;&gt;"") + ($E$3:$E$32&lt;&gt;""))), INDEX($B$3:$B$32, SMALL(IF(($C$3:$C$32&lt;&gt;"") + ($E$3:$E$32&lt;&gt;""), ROW($C$3:$C$32)-ROW($C$3)+1), ROWS($H$3:H14))), ""), "")</f>
        <v/>
      </c>
      <c r="I14" s="180" t="str">
        <f t="shared" si="0"/>
        <v/>
      </c>
      <c r="J14" s="180" t="str">
        <f t="shared" si="1"/>
        <v/>
      </c>
      <c r="K14" s="180" t="str">
        <f t="shared" si="2"/>
        <v/>
      </c>
      <c r="L14" s="181"/>
      <c r="O14" s="2"/>
      <c r="P14" s="2"/>
      <c r="Q14" s="2"/>
      <c r="R14" s="2"/>
      <c r="S14" s="2" t="str" cm="1">
        <f t="array" ref="S14">IF(ISBLANK($N14), "", SUM(_xlfn._xlws.FILTER(O14:Q14, NOT(ISBLANK($O14:$Q14)))))</f>
        <v/>
      </c>
      <c r="T14" s="17" t="str">
        <f ca="1"/>
        <v/>
      </c>
      <c r="U14" s="17"/>
    </row>
    <row r="15" spans="2:44">
      <c r="B15" s="83" t="str">
        <v/>
      </c>
      <c r="C15" s="84" t="str">
        <v/>
      </c>
      <c r="D15" s="84" t="str">
        <v/>
      </c>
      <c r="E15" s="84">
        <v>0</v>
      </c>
      <c r="F15" s="85"/>
      <c r="H15" s="91" t="str" cm="1">
        <f t="array" ref="H15">IFERROR(IF(ROWS($H$3:H15)&lt;=SUMPRODUCT(--(($C$3:$C$32&lt;&gt;"") + ($E$3:$E$32&lt;&gt;""))), INDEX($B$3:$B$32, SMALL(IF(($C$3:$C$32&lt;&gt;"") + ($E$3:$E$32&lt;&gt;""), ROW($C$3:$C$32)-ROW($C$3)+1), ROWS($H$3:H15))), ""), "")</f>
        <v/>
      </c>
      <c r="I15" s="24" t="str">
        <f t="shared" si="0"/>
        <v/>
      </c>
      <c r="J15" s="24" t="str">
        <f t="shared" si="1"/>
        <v/>
      </c>
      <c r="K15" s="24" t="str">
        <f t="shared" si="2"/>
        <v/>
      </c>
      <c r="L15" s="93"/>
      <c r="O15" s="2"/>
      <c r="P15" s="2"/>
      <c r="Q15" s="2"/>
      <c r="R15" s="2"/>
      <c r="S15" s="2" t="str" cm="1">
        <f t="array" ref="S15">IF(ISBLANK($N15), "", SUM(_xlfn._xlws.FILTER(O15:Q15, NOT(ISBLANK($O15:$Q15)))))</f>
        <v/>
      </c>
      <c r="T15" s="17" t="str">
        <f ca="1"/>
        <v/>
      </c>
      <c r="U15" s="17"/>
    </row>
    <row r="16" spans="2:44">
      <c r="B16" s="80" t="str">
        <v/>
      </c>
      <c r="C16" s="81" t="str">
        <v/>
      </c>
      <c r="D16" s="81" t="str">
        <v/>
      </c>
      <c r="E16" s="81">
        <v>0</v>
      </c>
      <c r="F16" s="82"/>
      <c r="H16" s="179" t="str" cm="1">
        <f t="array" ref="H16">IFERROR(IF(ROWS($H$3:H16)&lt;=SUMPRODUCT(--(($C$3:$C$32&lt;&gt;"") + ($E$3:$E$32&lt;&gt;""))), INDEX($B$3:$B$32, SMALL(IF(($C$3:$C$32&lt;&gt;"") + ($E$3:$E$32&lt;&gt;""), ROW($C$3:$C$32)-ROW($C$3)+1), ROWS($H$3:H16))), ""), "")</f>
        <v/>
      </c>
      <c r="I16" s="180" t="str">
        <f t="shared" si="0"/>
        <v/>
      </c>
      <c r="J16" s="180" t="str">
        <f t="shared" si="1"/>
        <v/>
      </c>
      <c r="K16" s="180" t="str">
        <f t="shared" si="2"/>
        <v/>
      </c>
      <c r="L16" s="181"/>
      <c r="O16" s="2"/>
      <c r="P16" s="2"/>
      <c r="Q16" s="2"/>
      <c r="R16" s="2"/>
      <c r="S16" s="2" t="str" cm="1">
        <f t="array" ref="S16">IF(ISBLANK($N16), "", SUM(_xlfn._xlws.FILTER(O16:Q16, NOT(ISBLANK($O16:$Q16)))))</f>
        <v/>
      </c>
      <c r="T16" s="17" t="str">
        <f ca="1"/>
        <v/>
      </c>
      <c r="U16" s="17"/>
    </row>
    <row r="17" spans="2:21">
      <c r="B17" s="83" t="str">
        <v/>
      </c>
      <c r="C17" s="84" t="str">
        <v/>
      </c>
      <c r="D17" s="84" t="str">
        <v/>
      </c>
      <c r="E17" s="84">
        <v>0</v>
      </c>
      <c r="F17" s="85"/>
      <c r="H17" s="91" t="str" cm="1">
        <f t="array" ref="H17">IFERROR(IF(ROWS($H$3:H17)&lt;=SUMPRODUCT(--(($C$3:$C$32&lt;&gt;"") + ($E$3:$E$32&lt;&gt;""))), INDEX($B$3:$B$32, SMALL(IF(($C$3:$C$32&lt;&gt;"") + ($E$3:$E$32&lt;&gt;""), ROW($C$3:$C$32)-ROW($C$3)+1), ROWS($H$3:H17))), ""), "")</f>
        <v/>
      </c>
      <c r="I17" s="24" t="str">
        <f t="shared" si="0"/>
        <v/>
      </c>
      <c r="J17" s="24" t="str">
        <f t="shared" si="1"/>
        <v/>
      </c>
      <c r="K17" s="24" t="str">
        <f t="shared" si="2"/>
        <v/>
      </c>
      <c r="L17" s="94"/>
      <c r="O17" s="2"/>
      <c r="P17" s="2"/>
      <c r="Q17" s="2"/>
      <c r="R17" s="2"/>
      <c r="S17" s="2" t="str" cm="1">
        <f t="array" ref="S17">IF(ISBLANK($N17), "", SUM(_xlfn._xlws.FILTER(O17:Q17, NOT(ISBLANK($O17:$Q17)))))</f>
        <v/>
      </c>
      <c r="T17" s="17" t="str">
        <f ca="1"/>
        <v/>
      </c>
      <c r="U17" s="17"/>
    </row>
    <row r="18" spans="2:21">
      <c r="B18" s="80" t="str">
        <v/>
      </c>
      <c r="C18" s="81" t="str">
        <v/>
      </c>
      <c r="D18" s="81" t="str">
        <v/>
      </c>
      <c r="E18" s="81">
        <v>0</v>
      </c>
      <c r="F18" s="82"/>
      <c r="H18" s="179" t="str" cm="1">
        <f t="array" ref="H18">IFERROR(IF(ROWS($H$3:H18)&lt;=SUMPRODUCT(--(($C$3:$C$32&lt;&gt;"") + ($E$3:$E$32&lt;&gt;""))), INDEX($B$3:$B$32, SMALL(IF(($C$3:$C$32&lt;&gt;"") + ($E$3:$E$32&lt;&gt;""), ROW($C$3:$C$32)-ROW($C$3)+1), ROWS($H$3:H18))), ""), "")</f>
        <v/>
      </c>
      <c r="I18" s="180" t="str">
        <f t="shared" si="0"/>
        <v/>
      </c>
      <c r="J18" s="180" t="str">
        <f t="shared" si="1"/>
        <v/>
      </c>
      <c r="K18" s="180" t="str">
        <f t="shared" si="2"/>
        <v/>
      </c>
      <c r="L18" s="182"/>
      <c r="O18" s="2"/>
      <c r="P18" s="2"/>
      <c r="Q18" s="2"/>
      <c r="R18" s="2"/>
      <c r="S18" s="2" t="str" cm="1">
        <f t="array" ref="S18">IF(ISBLANK($N18), "", SUM(_xlfn._xlws.FILTER(O18:Q18, NOT(ISBLANK($O18:$Q18)))))</f>
        <v/>
      </c>
      <c r="T18" s="17" t="str">
        <f ca="1"/>
        <v/>
      </c>
      <c r="U18" s="17"/>
    </row>
    <row r="19" spans="2:21">
      <c r="B19" s="77" t="str">
        <v/>
      </c>
      <c r="C19" s="78" t="str">
        <v/>
      </c>
      <c r="D19" s="78" t="str">
        <v/>
      </c>
      <c r="E19" s="78">
        <v>0</v>
      </c>
      <c r="F19" s="79"/>
      <c r="H19" s="91" t="str" cm="1">
        <f t="array" ref="H19">IFERROR(IF(ROWS($H$3:H19)&lt;=SUMPRODUCT(--(($C$3:$C$32&lt;&gt;"") + ($E$3:$E$32&lt;&gt;""))), INDEX($B$3:$B$32, SMALL(IF(($C$3:$C$32&lt;&gt;"") + ($E$3:$E$32&lt;&gt;""), ROW($C$3:$C$32)-ROW($C$3)+1), ROWS($H$3:H19))), ""), "")</f>
        <v/>
      </c>
      <c r="I19" s="24" t="str">
        <f t="shared" si="0"/>
        <v/>
      </c>
      <c r="J19" s="24" t="str">
        <f t="shared" si="1"/>
        <v/>
      </c>
      <c r="K19" s="24" t="str">
        <f t="shared" si="2"/>
        <v/>
      </c>
      <c r="L19" s="93"/>
      <c r="O19" s="2"/>
      <c r="P19" s="2"/>
      <c r="Q19" s="2"/>
      <c r="R19" s="2"/>
      <c r="S19" s="2"/>
      <c r="T19" s="17" t="str">
        <f ca="1"/>
        <v/>
      </c>
      <c r="U19" s="17"/>
    </row>
    <row r="20" spans="2:21">
      <c r="B20" s="80" t="str">
        <v/>
      </c>
      <c r="C20" s="81" t="str">
        <v/>
      </c>
      <c r="D20" s="81" t="str">
        <v/>
      </c>
      <c r="E20" s="81">
        <v>0</v>
      </c>
      <c r="F20" s="82"/>
      <c r="H20" s="179" t="str" cm="1">
        <f t="array" ref="H20">IFERROR(IF(ROWS($H$3:H20)&lt;=SUMPRODUCT(--(($C$3:$C$32&lt;&gt;"") + ($E$3:$E$32&lt;&gt;""))), INDEX($B$3:$B$32, SMALL(IF(($C$3:$C$32&lt;&gt;"") + ($E$3:$E$32&lt;&gt;""), ROW($C$3:$C$32)-ROW($C$3)+1), ROWS($H$3:H20))), ""), "")</f>
        <v/>
      </c>
      <c r="I20" s="180" t="str">
        <f t="shared" si="0"/>
        <v/>
      </c>
      <c r="J20" s="180" t="str">
        <f t="shared" si="1"/>
        <v/>
      </c>
      <c r="K20" s="180" t="str">
        <f t="shared" si="2"/>
        <v/>
      </c>
      <c r="L20" s="182"/>
      <c r="O20" s="2"/>
      <c r="P20" s="2"/>
      <c r="Q20" s="2"/>
      <c r="R20" s="2"/>
      <c r="S20" s="2"/>
      <c r="T20" s="17" t="str">
        <f ca="1"/>
        <v/>
      </c>
      <c r="U20" s="17"/>
    </row>
    <row r="21" spans="2:21">
      <c r="B21" s="77" t="str">
        <v/>
      </c>
      <c r="C21" s="78" t="str">
        <v/>
      </c>
      <c r="D21" s="78" t="str">
        <v/>
      </c>
      <c r="E21" s="78">
        <v>0</v>
      </c>
      <c r="F21" s="79"/>
      <c r="H21" s="91" t="str" cm="1">
        <f t="array" ref="H21">IFERROR(IF(ROWS($H$3:H21)&lt;=SUMPRODUCT(--(($C$3:$C$32&lt;&gt;"") + ($E$3:$E$32&lt;&gt;""))), INDEX($B$3:$B$32, SMALL(IF(($C$3:$C$32&lt;&gt;"") + ($E$3:$E$32&lt;&gt;""), ROW($C$3:$C$32)-ROW($C$3)+1), ROWS($H$3:H21))), ""), "")</f>
        <v/>
      </c>
      <c r="I21" s="24" t="str">
        <f t="shared" si="0"/>
        <v/>
      </c>
      <c r="J21" s="24" t="str">
        <f t="shared" si="1"/>
        <v/>
      </c>
      <c r="K21" s="24" t="str">
        <f t="shared" si="2"/>
        <v/>
      </c>
      <c r="L21" s="93"/>
      <c r="O21" s="2"/>
      <c r="P21" s="2"/>
      <c r="Q21" s="2"/>
      <c r="R21" s="2"/>
      <c r="S21" s="2"/>
      <c r="T21" s="17" t="str">
        <f ca="1"/>
        <v/>
      </c>
      <c r="U21" s="17"/>
    </row>
    <row r="22" spans="2:21">
      <c r="B22" s="80" t="str">
        <v/>
      </c>
      <c r="C22" s="81" t="str">
        <v/>
      </c>
      <c r="D22" s="81" t="str">
        <v/>
      </c>
      <c r="E22" s="81">
        <v>0</v>
      </c>
      <c r="F22" s="82"/>
      <c r="H22" s="179" t="str" cm="1">
        <f t="array" ref="H22">IFERROR(IF(ROWS($H$3:H22)&lt;=SUMPRODUCT(--(($C$3:$C$32&lt;&gt;"") + ($E$3:$E$32&lt;&gt;""))), INDEX($B$3:$B$32, SMALL(IF(($C$3:$C$32&lt;&gt;"") + ($E$3:$E$32&lt;&gt;""), ROW($C$3:$C$32)-ROW($C$3)+1), ROWS($H$3:H22))), ""), "")</f>
        <v/>
      </c>
      <c r="I22" s="180" t="str">
        <f t="shared" si="0"/>
        <v/>
      </c>
      <c r="J22" s="180" t="str">
        <f t="shared" si="1"/>
        <v/>
      </c>
      <c r="K22" s="180" t="str">
        <f t="shared" si="2"/>
        <v/>
      </c>
      <c r="L22" s="181"/>
      <c r="O22" s="2"/>
      <c r="P22" s="2"/>
      <c r="Q22" s="2"/>
      <c r="R22" s="2"/>
      <c r="S22" s="2" t="str" cm="1">
        <f t="array" ref="S22">IF(ISBLANK($N22), "", SUM(_xlfn._xlws.FILTER(O22:Q22, NOT(ISBLANK($O22:$Q22)))))</f>
        <v/>
      </c>
      <c r="T22" s="17" t="str">
        <f ca="1"/>
        <v/>
      </c>
      <c r="U22" s="17"/>
    </row>
    <row r="23" spans="2:21">
      <c r="B23" s="77" t="str" cm="1">
        <f t="array" ref="B23:B32">IF('Carbon Costs Calculator'!S5:S14 = 0, "", 'Carbon Costs Calculator'!S5:S14)</f>
        <v/>
      </c>
      <c r="C23" s="78" t="str" cm="1">
        <f t="array" ref="C23:C32">IF('Carbon Costs Calculator'!W5:W14=0,"",'Carbon Costs Calculator'!W5:W14/1000)</f>
        <v/>
      </c>
      <c r="D23" s="78" t="str" cm="1">
        <f t="array" ref="D23:D32">IF('Carbon Costs Calculator'!Y5:Y14=0,"",'Carbon Costs Calculator'!Y5:Y14/1000)</f>
        <v/>
      </c>
      <c r="E23" s="78" cm="1">
        <f t="array" ref="E23:E32">IF('Carbon Costs Calculator'!AO29:AO38=0, 0, 'Carbon Costs Calculator'!AO29:AO38/1000)</f>
        <v>0</v>
      </c>
      <c r="F23" s="79"/>
      <c r="H23" s="91" t="str" cm="1">
        <f t="array" ref="H23">IFERROR(IF(ROWS($H$3:H23)&lt;=SUMPRODUCT(--(($C$3:$C$32&lt;&gt;"") + ($E$3:$E$32&lt;&gt;""))), INDEX($B$3:$B$32, SMALL(IF(($C$3:$C$32&lt;&gt;"") + ($E$3:$E$32&lt;&gt;""), ROW($C$3:$C$32)-ROW($C$3)+1), ROWS($H$3:H23))), ""), "")</f>
        <v/>
      </c>
      <c r="I23" s="24" t="str">
        <f t="shared" si="0"/>
        <v/>
      </c>
      <c r="J23" s="24" t="str">
        <f t="shared" si="1"/>
        <v/>
      </c>
      <c r="K23" s="24" t="str">
        <f t="shared" si="2"/>
        <v/>
      </c>
      <c r="L23" s="93"/>
      <c r="O23" s="2"/>
      <c r="P23" s="2"/>
      <c r="Q23" s="2"/>
      <c r="R23" s="2"/>
      <c r="S23" s="2" t="str" cm="1">
        <f t="array" ref="S23">IF(ISBLANK($N23), "", SUM(_xlfn._xlws.FILTER(O23:Q23, NOT(ISBLANK($O23:$Q23)))))</f>
        <v/>
      </c>
      <c r="T23" s="17" t="str">
        <f ca="1"/>
        <v/>
      </c>
      <c r="U23" s="17"/>
    </row>
    <row r="24" spans="2:21">
      <c r="B24" s="80" t="str">
        <v/>
      </c>
      <c r="C24" s="81" t="str">
        <v/>
      </c>
      <c r="D24" s="81" t="str">
        <v/>
      </c>
      <c r="E24" s="81">
        <v>0</v>
      </c>
      <c r="F24" s="82"/>
      <c r="H24" s="179" t="str" cm="1">
        <f t="array" ref="H24">IFERROR(IF(ROWS($H$3:H24)&lt;=SUMPRODUCT(--(($C$3:$C$32&lt;&gt;"") + ($E$3:$E$32&lt;&gt;""))), INDEX($B$3:$B$32, SMALL(IF(($C$3:$C$32&lt;&gt;"") + ($E$3:$E$32&lt;&gt;""), ROW($C$3:$C$32)-ROW($C$3)+1), ROWS($H$3:H24))), ""), "")</f>
        <v/>
      </c>
      <c r="I24" s="180" t="str">
        <f t="shared" si="0"/>
        <v/>
      </c>
      <c r="J24" s="180" t="str">
        <f t="shared" si="1"/>
        <v/>
      </c>
      <c r="K24" s="180" t="str">
        <f t="shared" si="2"/>
        <v/>
      </c>
      <c r="L24" s="181"/>
      <c r="O24" s="2"/>
      <c r="P24" s="2"/>
      <c r="Q24" s="2"/>
      <c r="R24" s="2"/>
      <c r="S24" s="2" t="str" cm="1">
        <f t="array" ref="S24">IF(ISBLANK($N24), "", SUM(_xlfn._xlws.FILTER(O24:Q24, NOT(ISBLANK($O24:$Q24)))))</f>
        <v/>
      </c>
      <c r="T24" s="17" t="str">
        <f ca="1"/>
        <v/>
      </c>
      <c r="U24" s="17"/>
    </row>
    <row r="25" spans="2:21">
      <c r="B25" s="77" t="str">
        <v/>
      </c>
      <c r="C25" s="78" t="str">
        <v/>
      </c>
      <c r="D25" s="78" t="str">
        <v/>
      </c>
      <c r="E25" s="78">
        <v>0</v>
      </c>
      <c r="F25" s="79"/>
      <c r="H25" s="91" t="str" cm="1">
        <f t="array" ref="H25">IFERROR(IF(ROWS($H$3:H25)&lt;=SUMPRODUCT(--(($C$3:$C$32&lt;&gt;"") + ($E$3:$E$32&lt;&gt;""))), INDEX($B$3:$B$32, SMALL(IF(($C$3:$C$32&lt;&gt;"") + ($E$3:$E$32&lt;&gt;""), ROW($C$3:$C$32)-ROW($C$3)+1), ROWS($H$3:H25))), ""), "")</f>
        <v/>
      </c>
      <c r="I25" s="24" t="str">
        <f t="shared" si="0"/>
        <v/>
      </c>
      <c r="J25" s="24" t="str">
        <f t="shared" si="1"/>
        <v/>
      </c>
      <c r="K25" s="24" t="str">
        <f t="shared" si="2"/>
        <v/>
      </c>
      <c r="L25" s="94"/>
      <c r="O25" s="2"/>
      <c r="P25" s="2"/>
      <c r="Q25" s="2"/>
      <c r="R25" s="2"/>
      <c r="S25" s="2" t="str" cm="1">
        <f t="array" ref="S25">IF(ISBLANK($N25), "", SUM(_xlfn._xlws.FILTER(O25:Q25, NOT(ISBLANK($O25:$Q25)))))</f>
        <v/>
      </c>
      <c r="T25" s="17" t="str">
        <f ca="1"/>
        <v/>
      </c>
      <c r="U25" s="17"/>
    </row>
    <row r="26" spans="2:21">
      <c r="B26" s="80" t="str">
        <v/>
      </c>
      <c r="C26" s="81" t="str">
        <v/>
      </c>
      <c r="D26" s="81" t="str">
        <v/>
      </c>
      <c r="E26" s="81">
        <v>0</v>
      </c>
      <c r="F26" s="82"/>
      <c r="H26" s="179" t="str" cm="1">
        <f t="array" ref="H26">IFERROR(IF(ROWS($H$3:H26)&lt;=SUMPRODUCT(--(($C$3:$C$32&lt;&gt;"") + ($E$3:$E$32&lt;&gt;""))), INDEX($B$3:$B$32, SMALL(IF(($C$3:$C$32&lt;&gt;"") + ($E$3:$E$32&lt;&gt;""), ROW($C$3:$C$32)-ROW($C$3)+1), ROWS($H$3:H26))), ""), "")</f>
        <v/>
      </c>
      <c r="I26" s="180" t="str">
        <f t="shared" si="0"/>
        <v/>
      </c>
      <c r="J26" s="180" t="str">
        <f t="shared" si="1"/>
        <v/>
      </c>
      <c r="K26" s="180" t="str">
        <f t="shared" si="2"/>
        <v/>
      </c>
      <c r="L26" s="181"/>
      <c r="O26" s="2"/>
      <c r="P26" s="2"/>
      <c r="Q26" s="2"/>
      <c r="R26" s="2"/>
      <c r="S26" s="2" t="str" cm="1">
        <f t="array" ref="S26">IF(ISBLANK($N26), "", SUM(_xlfn._xlws.FILTER(O26:Q26, NOT(ISBLANK($O26:$Q26)))))</f>
        <v/>
      </c>
      <c r="T26" s="17" t="str">
        <f ca="1"/>
        <v/>
      </c>
      <c r="U26" s="17"/>
    </row>
    <row r="27" spans="2:21">
      <c r="B27" s="77" t="str">
        <v/>
      </c>
      <c r="C27" s="78" t="str">
        <v/>
      </c>
      <c r="D27" s="78" t="str">
        <v/>
      </c>
      <c r="E27" s="78">
        <v>0</v>
      </c>
      <c r="F27" s="79"/>
      <c r="H27" s="91" t="str" cm="1">
        <f t="array" ref="H27">IFERROR(IF(ROWS($H$3:H27)&lt;=SUMPRODUCT(--(($C$3:$C$32&lt;&gt;"") + ($E$3:$E$32&lt;&gt;""))), INDEX($B$3:$B$32, SMALL(IF(($C$3:$C$32&lt;&gt;"") + ($E$3:$E$32&lt;&gt;""), ROW($C$3:$C$32)-ROW($C$3)+1), ROWS($H$3:H27))), ""), "")</f>
        <v/>
      </c>
      <c r="I27" s="24" t="str">
        <f t="shared" si="0"/>
        <v/>
      </c>
      <c r="J27" s="24" t="str">
        <f t="shared" si="1"/>
        <v/>
      </c>
      <c r="K27" s="24" t="str">
        <f t="shared" si="2"/>
        <v/>
      </c>
      <c r="L27" s="94"/>
      <c r="O27" s="2"/>
      <c r="P27" s="2"/>
      <c r="Q27" s="2"/>
      <c r="R27" s="2"/>
      <c r="S27" s="2" t="str" cm="1">
        <f t="array" ref="S27">IF(ISBLANK($N27), "", SUM(_xlfn._xlws.FILTER(O27:Q27, NOT(ISBLANK($O27:$Q27)))))</f>
        <v/>
      </c>
      <c r="T27" s="17" t="str">
        <f ca="1"/>
        <v/>
      </c>
      <c r="U27" s="17"/>
    </row>
    <row r="28" spans="2:21">
      <c r="B28" s="80" t="str">
        <v/>
      </c>
      <c r="C28" s="81" t="str">
        <v/>
      </c>
      <c r="D28" s="81" t="str">
        <v/>
      </c>
      <c r="E28" s="81">
        <v>0</v>
      </c>
      <c r="F28" s="82"/>
      <c r="H28" s="179" t="str" cm="1">
        <f t="array" ref="H28">IFERROR(IF(ROWS($H$3:H28)&lt;=SUMPRODUCT(--(($C$3:$C$32&lt;&gt;"") + ($E$3:$E$32&lt;&gt;""))), INDEX($B$3:$B$32, SMALL(IF(($C$3:$C$32&lt;&gt;"") + ($E$3:$E$32&lt;&gt;""), ROW($C$3:$C$32)-ROW($C$3)+1), ROWS($H$3:H28))), ""), "")</f>
        <v/>
      </c>
      <c r="I28" s="180" t="str">
        <f t="shared" si="0"/>
        <v/>
      </c>
      <c r="J28" s="180" t="str">
        <f t="shared" si="1"/>
        <v/>
      </c>
      <c r="K28" s="180" t="str">
        <f t="shared" si="2"/>
        <v/>
      </c>
      <c r="L28" s="181"/>
      <c r="O28" s="2"/>
      <c r="P28" s="2"/>
      <c r="Q28" s="2"/>
      <c r="R28" s="2"/>
      <c r="S28" s="2" t="str" cm="1">
        <f t="array" ref="S28">IF(ISBLANK($N28), "", SUM(_xlfn._xlws.FILTER(O28:Q28, NOT(ISBLANK($O28:$Q28)))))</f>
        <v/>
      </c>
      <c r="T28" s="17" t="str">
        <f ca="1"/>
        <v/>
      </c>
      <c r="U28" s="17"/>
    </row>
    <row r="29" spans="2:21">
      <c r="B29" s="83" t="str">
        <v/>
      </c>
      <c r="C29" s="84" t="str">
        <v/>
      </c>
      <c r="D29" s="84" t="str">
        <v/>
      </c>
      <c r="E29" s="84">
        <v>0</v>
      </c>
      <c r="F29" s="85"/>
      <c r="H29" s="91" t="str" cm="1">
        <f t="array" ref="H29">IFERROR(IF(ROWS($H$3:H29)&lt;=SUMPRODUCT(--(($C$3:$C$32&lt;&gt;"") + ($E$3:$E$32&lt;&gt;""))), INDEX($B$3:$B$32, SMALL(IF(($C$3:$C$32&lt;&gt;"") + ($E$3:$E$32&lt;&gt;""), ROW($C$3:$C$32)-ROW($C$3)+1), ROWS($H$3:H29))), ""), "")</f>
        <v/>
      </c>
      <c r="I29" s="24" t="str">
        <f t="shared" si="0"/>
        <v/>
      </c>
      <c r="J29" s="24" t="str">
        <f t="shared" si="1"/>
        <v/>
      </c>
      <c r="K29" s="24" t="str">
        <f t="shared" si="2"/>
        <v/>
      </c>
      <c r="L29" s="94"/>
      <c r="O29" s="2"/>
      <c r="P29" s="2"/>
      <c r="Q29" s="2"/>
      <c r="R29" s="2"/>
      <c r="S29" s="2" t="str" cm="1">
        <f t="array" ref="S29">IF(ISBLANK($N29), "", SUM(_xlfn._xlws.FILTER(O29:Q29, NOT(ISBLANK($O29:$Q29)))))</f>
        <v/>
      </c>
      <c r="T29" s="17" t="str">
        <f ca="1"/>
        <v/>
      </c>
      <c r="U29" s="17"/>
    </row>
    <row r="30" spans="2:21">
      <c r="B30" s="80" t="str">
        <v/>
      </c>
      <c r="C30" s="86" t="str">
        <v/>
      </c>
      <c r="D30" s="86" t="str">
        <v/>
      </c>
      <c r="E30" s="86">
        <v>0</v>
      </c>
      <c r="F30" s="87"/>
      <c r="H30" s="179" t="str" cm="1">
        <f t="array" ref="H30">IFERROR(IF(ROWS($H$3:H30)&lt;=SUMPRODUCT(--(($C$3:$C$32&lt;&gt;"") + ($E$3:$E$32&lt;&gt;""))), INDEX($B$3:$B$32, SMALL(IF(($C$3:$C$32&lt;&gt;"") + ($E$3:$E$32&lt;&gt;""), ROW($C$3:$C$32)-ROW($C$3)+1), ROWS($H$3:H30))), ""), "")</f>
        <v/>
      </c>
      <c r="I30" s="180" t="str">
        <f t="shared" si="0"/>
        <v/>
      </c>
      <c r="J30" s="180" t="str">
        <f t="shared" si="1"/>
        <v/>
      </c>
      <c r="K30" s="180" t="str">
        <f t="shared" si="2"/>
        <v/>
      </c>
      <c r="L30" s="182"/>
      <c r="O30" s="2"/>
      <c r="P30" s="2"/>
      <c r="Q30" s="2"/>
      <c r="R30" s="2"/>
      <c r="S30" s="2" t="str" cm="1">
        <f t="array" ref="S30">IF(ISBLANK($N30), "", SUM(_xlfn._xlws.FILTER(O30:Q30, NOT(ISBLANK($O30:$Q30)))))</f>
        <v/>
      </c>
      <c r="T30" s="17" t="str">
        <f ca="1"/>
        <v/>
      </c>
      <c r="U30" s="17"/>
    </row>
    <row r="31" spans="2:21">
      <c r="B31" s="83" t="str">
        <v/>
      </c>
      <c r="C31" s="84" t="str">
        <v/>
      </c>
      <c r="D31" s="84" t="str">
        <v/>
      </c>
      <c r="E31" s="84">
        <v>0</v>
      </c>
      <c r="F31" s="85"/>
      <c r="H31" s="91" t="str" cm="1">
        <f t="array" ref="H31">IFERROR(IF(ROWS($H$3:H31)&lt;=SUMPRODUCT(--(($C$3:$C$32&lt;&gt;"") + ($E$3:$E$32&lt;&gt;""))), INDEX($B$3:$B$32, SMALL(IF(($C$3:$C$32&lt;&gt;"") + ($E$3:$E$32&lt;&gt;""), ROW($C$3:$C$32)-ROW($C$3)+1), ROWS($H$3:H31))), ""), "")</f>
        <v/>
      </c>
      <c r="I31" s="24" t="str">
        <f t="shared" si="0"/>
        <v/>
      </c>
      <c r="J31" s="24" t="str">
        <f t="shared" si="1"/>
        <v/>
      </c>
      <c r="K31" s="24" t="str">
        <f t="shared" si="2"/>
        <v/>
      </c>
      <c r="L31" s="94"/>
      <c r="O31" s="2"/>
      <c r="P31" s="2"/>
      <c r="Q31" s="2"/>
      <c r="R31" s="2"/>
      <c r="S31" s="2" t="str" cm="1">
        <f t="array" ref="S31">IF(ISBLANK($N31), "", SUM(_xlfn._xlws.FILTER(O31:Q31, NOT(ISBLANK($O31:$Q31)))))</f>
        <v/>
      </c>
      <c r="T31" s="17" t="str">
        <f ca="1"/>
        <v/>
      </c>
      <c r="U31" s="17"/>
    </row>
    <row r="32" spans="2:21">
      <c r="B32" s="80" t="str">
        <v/>
      </c>
      <c r="C32" s="81" t="str">
        <v/>
      </c>
      <c r="D32" s="81" t="str">
        <v/>
      </c>
      <c r="E32" s="81">
        <v>0</v>
      </c>
      <c r="F32" s="82"/>
      <c r="H32" s="179" t="str" cm="1">
        <f t="array" ref="H32">IFERROR(IF(ROWS($H$3:H32)&lt;=SUMPRODUCT(--(($C$3:$C$32&lt;&gt;"") + ($E$3:$E$32&lt;&gt;""))), INDEX($B$3:$B$32, SMALL(IF(($C$3:$C$32&lt;&gt;"") + ($E$3:$E$32&lt;&gt;""), ROW($C$3:$C$32)-ROW($C$3)+1), ROWS($H$3:H32))), ""), "")</f>
        <v/>
      </c>
      <c r="I32" s="180" t="str">
        <f t="shared" si="0"/>
        <v/>
      </c>
      <c r="J32" s="180" t="str">
        <f t="shared" si="1"/>
        <v/>
      </c>
      <c r="K32" s="180" t="str">
        <f t="shared" si="2"/>
        <v/>
      </c>
      <c r="L32" s="182"/>
      <c r="O32" s="2"/>
      <c r="P32" s="2"/>
      <c r="Q32" s="2"/>
      <c r="R32" s="2"/>
      <c r="S32" s="2" t="str" cm="1">
        <f t="array" ref="S32">IF(ISBLANK($N32), "", SUM(_xlfn._xlws.FILTER(O32:Q32, NOT(ISBLANK($O32:$Q32)))))</f>
        <v/>
      </c>
      <c r="T32" s="17" t="str">
        <f ca="1"/>
        <v/>
      </c>
      <c r="U32" s="17"/>
    </row>
    <row r="33" spans="2:29">
      <c r="B33" s="83" t="s">
        <v>102</v>
      </c>
      <c r="C33" s="84">
        <f>SUM(_xlfn.ANCHORARRAY(C3),_xlfn.ANCHORARRAY(C13),_xlfn.ANCHORARRAY(C23))</f>
        <v>36.458036440000001</v>
      </c>
      <c r="D33" s="84">
        <f>SUM(_xlfn.ANCHORARRAY(D3),_xlfn.ANCHORARRAY(D13),_xlfn.ANCHORARRAY(D23))</f>
        <v>0.6910695</v>
      </c>
      <c r="E33" s="84">
        <f>SUM(_xlfn.ANCHORARRAY(E3),_xlfn.ANCHORARRAY(E13),_xlfn.ANCHORARRAY(E23))</f>
        <v>29.836800000000004</v>
      </c>
      <c r="F33" s="85">
        <f>SUM(F3:F17)</f>
        <v>0</v>
      </c>
      <c r="H33" s="92" t="s">
        <v>102</v>
      </c>
      <c r="I33" s="76">
        <f>SUM(I3:I32)</f>
        <v>36.458036440000001</v>
      </c>
      <c r="J33" s="76">
        <f>SUM(J3:J32)</f>
        <v>0.6910695</v>
      </c>
      <c r="K33" s="76">
        <f>SUM(K3:K32)</f>
        <v>29.836800000000004</v>
      </c>
      <c r="L33" s="94">
        <f>L3</f>
        <v>0</v>
      </c>
      <c r="O33" s="2"/>
      <c r="P33" s="2"/>
      <c r="Q33" s="2"/>
      <c r="R33" s="2"/>
      <c r="S33" s="2"/>
      <c r="T33" s="17"/>
      <c r="U33" s="17"/>
    </row>
    <row r="34" spans="2:29">
      <c r="B34" s="88" t="s">
        <v>286</v>
      </c>
      <c r="C34" s="89">
        <v>0</v>
      </c>
      <c r="D34" s="89">
        <v>0</v>
      </c>
      <c r="E34" s="89">
        <v>0</v>
      </c>
      <c r="F34" s="90">
        <v>0</v>
      </c>
      <c r="H34" s="95" t="s">
        <v>286</v>
      </c>
      <c r="I34" s="96">
        <v>0</v>
      </c>
      <c r="J34" s="96">
        <v>0</v>
      </c>
      <c r="K34" s="96">
        <v>0</v>
      </c>
      <c r="L34" s="97">
        <v>0</v>
      </c>
    </row>
    <row r="39" spans="2:29">
      <c r="AC39" t="str" cm="1">
        <f t="array" ref="AC39">TRANSPOSE(IF(ISBLANK($N35), "", SUM(_xlfn._xlws.FILTER(O35:Q35, NOT(ISBLANK($O35:$Q35))))))</f>
        <v/>
      </c>
    </row>
    <row r="40" spans="2:29">
      <c r="AC40" t="str" cm="1">
        <f t="array" ref="AC40">TRANSPOSE(IF(ISBLANK($N36), "", SUM(_xlfn._xlws.FILTER(O36:Q36, NOT(ISBLANK($O36:$Q36))))))</f>
        <v/>
      </c>
    </row>
    <row r="41" spans="2:29">
      <c r="AC41" t="str" cm="1">
        <f t="array" ref="AC41">TRANSPOSE(IF(ISBLANK($N37), "", SUM(_xlfn._xlws.FILTER(O37:Q37, NOT(ISBLANK($O37:$Q37))))))</f>
        <v/>
      </c>
    </row>
    <row r="42" spans="2:29">
      <c r="AC42" t="str" cm="1">
        <f t="array" ref="AC42">TRANSPOSE(IF(ISBLANK($N38), "", SUM(_xlfn._xlws.FILTER(O38:Q38, NOT(ISBLANK($O38:$Q38))))))</f>
        <v/>
      </c>
    </row>
    <row r="43" spans="2:29">
      <c r="AC43" t="str" cm="1">
        <f t="array" ref="AC43">TRANSPOSE(IF(ISBLANK($N39), "", SUM(_xlfn._xlws.FILTER(O39:Q39, NOT(ISBLANK($O39:$Q39))))))</f>
        <v/>
      </c>
    </row>
    <row r="44" spans="2:29">
      <c r="AC44" t="str" cm="1">
        <f t="array" ref="AC44">TRANSPOSE(IF(ISBLANK($N40), "", SUM(_xlfn._xlws.FILTER(O40:Q40, NOT(ISBLANK($O40:$Q40))))))</f>
        <v/>
      </c>
    </row>
    <row r="45" spans="2:29">
      <c r="AC45" t="str" cm="1">
        <f t="array" ref="AC45">TRANSPOSE(IF(ISBLANK($N41), "", SUM(_xlfn._xlws.FILTER(O41:Q41, NOT(ISBLANK($O41:$Q41))))))</f>
        <v/>
      </c>
    </row>
    <row r="46" spans="2:29">
      <c r="AC46" t="str" cm="1">
        <f t="array" ref="AC46">TRANSPOSE(IF(ISBLANK($N42), "", SUM(_xlfn._xlws.FILTER(O42:Q42, NOT(ISBLANK($O42:$Q42))))))</f>
        <v/>
      </c>
    </row>
    <row r="47" spans="2:29">
      <c r="AC47" t="str" cm="1">
        <f t="array" ref="AC47">TRANSPOSE(IF(ISBLANK($N43), "", SUM(_xlfn._xlws.FILTER(O43:Q43, NOT(ISBLANK($O43:$Q43))))))</f>
        <v/>
      </c>
    </row>
    <row r="48" spans="2:29">
      <c r="AC48" t="str" cm="1">
        <f t="array" ref="AC48">TRANSPOSE(IF(ISBLANK($N44), "", SUM(_xlfn._xlws.FILTER(O44:Q44, NOT(ISBLANK($O44:$Q44))))))</f>
        <v/>
      </c>
    </row>
    <row r="49" spans="29:29">
      <c r="AC49" t="str" cm="1">
        <f t="array" ref="AC49">TRANSPOSE(IF(ISBLANK($N45), "", SUM(_xlfn._xlws.FILTER(O45:Q45, NOT(ISBLANK($O45:$Q45))))))</f>
        <v/>
      </c>
    </row>
    <row r="50" spans="29:29">
      <c r="AC50" t="str" cm="1">
        <f t="array" ref="AC50">TRANSPOSE(IF(ISBLANK($N46), "", SUM(_xlfn._xlws.FILTER(O46:Q46, NOT(ISBLANK($O46:$Q46))))))</f>
        <v/>
      </c>
    </row>
    <row r="51" spans="29:29">
      <c r="AC51" t="str" cm="1">
        <f t="array" ref="AC51">TRANSPOSE(IF(ISBLANK($N47), "", SUM(_xlfn._xlws.FILTER(O47:Q47, NOT(ISBLANK($O47:$Q47))))))</f>
        <v/>
      </c>
    </row>
    <row r="52" spans="29:29">
      <c r="AC52" t="str" cm="1">
        <f t="array" ref="AC52">TRANSPOSE(IF(ISBLANK($N48), "", SUM(_xlfn._xlws.FILTER(O48:Q48, NOT(ISBLANK($O48:$Q48))))))</f>
        <v/>
      </c>
    </row>
    <row r="53" spans="29:29">
      <c r="AC53" t="str" cm="1">
        <f t="array" ref="AC53">TRANSPOSE(IF(ISBLANK($N49), "", SUM(_xlfn._xlws.FILTER(O49:Q49, NOT(ISBLANK($O49:$Q49))))))</f>
        <v/>
      </c>
    </row>
  </sheetData>
  <sheetProtection algorithmName="SHA-512" hashValue="C6/crBr0cR0U3dumTpZNuTdfAezmMjMyHnlyu4QANmX1wvnXM7P1UEHlnaslgPbasmPdoRQwpltkHXENEXfQqw==" saltValue="bb1CL8cze52/9BqpDfTutQ==" spinCount="100000" sheet="1" insertRows="0" selectLockedCells="1" sort="0" autoFilter="0" selectUnlockedCells="1"/>
  <pageMargins left="0.7" right="0.7" top="0.75" bottom="0.75" header="0.3" footer="0.3"/>
  <ignoredErrors>
    <ignoredError sqref="S3" evalError="1"/>
  </ignoredErrors>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7CFD5-3EBA-49E3-8156-17810BABAD74}">
  <sheetPr>
    <pageSetUpPr autoPageBreaks="0"/>
  </sheetPr>
  <dimension ref="B2:S260"/>
  <sheetViews>
    <sheetView zoomScale="85" zoomScaleNormal="85" workbookViewId="0">
      <selection sqref="A1:XFD1048576"/>
    </sheetView>
  </sheetViews>
  <sheetFormatPr defaultRowHeight="14.45"/>
  <cols>
    <col min="2" max="2" width="25.5703125" bestFit="1" customWidth="1"/>
    <col min="3" max="3" width="23.5703125" bestFit="1" customWidth="1"/>
    <col min="4" max="4" width="43.85546875" bestFit="1" customWidth="1"/>
    <col min="5" max="5" width="63.85546875" bestFit="1" customWidth="1"/>
    <col min="6" max="6" width="43.85546875" bestFit="1" customWidth="1"/>
    <col min="7" max="7" width="15.140625" bestFit="1" customWidth="1"/>
    <col min="8" max="8" width="24.7109375" bestFit="1" customWidth="1"/>
    <col min="9" max="11" width="20.7109375" bestFit="1" customWidth="1"/>
  </cols>
  <sheetData>
    <row r="2" spans="2:19">
      <c r="B2" s="1" t="s">
        <v>287</v>
      </c>
    </row>
    <row r="3" spans="2:19">
      <c r="B3" s="8" t="s">
        <v>288</v>
      </c>
      <c r="K3" s="43"/>
      <c r="L3" s="43"/>
      <c r="M3" s="43"/>
      <c r="N3" s="43"/>
      <c r="O3" s="43"/>
      <c r="P3" s="43"/>
      <c r="Q3" s="43"/>
      <c r="R3" s="43"/>
      <c r="S3" s="43"/>
    </row>
    <row r="4" spans="2:19">
      <c r="B4" s="34" t="s">
        <v>289</v>
      </c>
    </row>
    <row r="5" spans="2:19">
      <c r="B5" s="33" t="s">
        <v>290</v>
      </c>
    </row>
    <row r="6" spans="2:19">
      <c r="B6" s="32" t="s">
        <v>220</v>
      </c>
    </row>
    <row r="7" spans="2:19">
      <c r="B7" s="33" t="s">
        <v>291</v>
      </c>
    </row>
    <row r="8" spans="2:19">
      <c r="B8" s="34" t="s">
        <v>292</v>
      </c>
    </row>
    <row r="9" spans="2:19">
      <c r="B9" s="33" t="s">
        <v>293</v>
      </c>
    </row>
    <row r="10" spans="2:19">
      <c r="B10" s="34" t="s">
        <v>294</v>
      </c>
    </row>
    <row r="11" spans="2:19">
      <c r="B11" s="33" t="s">
        <v>229</v>
      </c>
    </row>
    <row r="12" spans="2:19">
      <c r="B12" s="34" t="s">
        <v>130</v>
      </c>
    </row>
    <row r="13" spans="2:19">
      <c r="B13" s="54" t="s">
        <v>240</v>
      </c>
    </row>
    <row r="19" spans="2:11">
      <c r="B19" s="1" t="s">
        <v>295</v>
      </c>
    </row>
    <row r="20" spans="2:11">
      <c r="B20" s="12" t="s">
        <v>289</v>
      </c>
      <c r="C20" s="20" t="s">
        <v>290</v>
      </c>
      <c r="D20" s="20" t="s">
        <v>220</v>
      </c>
      <c r="E20" s="20" t="s">
        <v>291</v>
      </c>
      <c r="F20" s="20" t="s">
        <v>292</v>
      </c>
      <c r="G20" s="20" t="s">
        <v>293</v>
      </c>
      <c r="H20" s="20" t="s">
        <v>294</v>
      </c>
      <c r="I20" s="20" t="s">
        <v>229</v>
      </c>
      <c r="J20" s="20" t="s">
        <v>130</v>
      </c>
      <c r="K20" s="13" t="s">
        <v>240</v>
      </c>
    </row>
    <row r="21" spans="2:11">
      <c r="B21" s="35" t="s">
        <v>222</v>
      </c>
      <c r="C21" s="40" t="s">
        <v>296</v>
      </c>
      <c r="D21" s="35" t="s">
        <v>222</v>
      </c>
      <c r="E21" s="35" t="s">
        <v>222</v>
      </c>
      <c r="F21" s="40" t="s">
        <v>222</v>
      </c>
      <c r="G21" s="35" t="s">
        <v>222</v>
      </c>
      <c r="H21" s="35" t="s">
        <v>222</v>
      </c>
      <c r="I21" s="35" t="s">
        <v>222</v>
      </c>
      <c r="J21" s="40" t="s">
        <v>131</v>
      </c>
      <c r="K21" s="42" t="s">
        <v>296</v>
      </c>
    </row>
    <row r="22" spans="2:11">
      <c r="B22" s="38" t="s">
        <v>202</v>
      </c>
      <c r="C22" s="29" t="s">
        <v>297</v>
      </c>
      <c r="D22" s="38" t="s">
        <v>202</v>
      </c>
      <c r="E22" s="38" t="s">
        <v>202</v>
      </c>
      <c r="F22" s="29" t="s">
        <v>202</v>
      </c>
      <c r="G22" s="38" t="s">
        <v>202</v>
      </c>
      <c r="H22" s="38" t="s">
        <v>202</v>
      </c>
      <c r="I22" s="38" t="s">
        <v>202</v>
      </c>
      <c r="J22" s="29" t="s">
        <v>298</v>
      </c>
      <c r="K22" s="31" t="s">
        <v>297</v>
      </c>
    </row>
    <row r="23" spans="2:11">
      <c r="B23" s="35" t="s">
        <v>299</v>
      </c>
      <c r="C23" s="40" t="s">
        <v>215</v>
      </c>
      <c r="D23" s="35" t="s">
        <v>299</v>
      </c>
      <c r="E23" s="35" t="s">
        <v>299</v>
      </c>
      <c r="F23" s="40" t="s">
        <v>299</v>
      </c>
      <c r="G23" s="35" t="s">
        <v>299</v>
      </c>
      <c r="H23" s="35" t="s">
        <v>299</v>
      </c>
      <c r="I23" s="35" t="s">
        <v>299</v>
      </c>
      <c r="J23" s="40" t="s">
        <v>300</v>
      </c>
      <c r="K23" s="42" t="s">
        <v>215</v>
      </c>
    </row>
    <row r="24" spans="2:11">
      <c r="B24" s="38" t="s">
        <v>301</v>
      </c>
      <c r="C24" s="29"/>
      <c r="D24" s="38" t="s">
        <v>301</v>
      </c>
      <c r="E24" s="29" t="s">
        <v>301</v>
      </c>
      <c r="F24" s="29" t="s">
        <v>301</v>
      </c>
      <c r="G24" s="38" t="s">
        <v>301</v>
      </c>
      <c r="H24" s="38" t="s">
        <v>301</v>
      </c>
      <c r="I24" s="38" t="s">
        <v>301</v>
      </c>
      <c r="J24" s="29" t="s">
        <v>302</v>
      </c>
      <c r="K24" s="31"/>
    </row>
    <row r="25" spans="2:11">
      <c r="B25" s="28" t="s">
        <v>303</v>
      </c>
      <c r="C25" s="7"/>
      <c r="D25" s="28" t="s">
        <v>303</v>
      </c>
      <c r="E25" s="7" t="s">
        <v>303</v>
      </c>
      <c r="F25" s="7" t="s">
        <v>303</v>
      </c>
      <c r="G25" s="28" t="s">
        <v>303</v>
      </c>
      <c r="H25" s="28" t="s">
        <v>303</v>
      </c>
      <c r="I25" s="28" t="s">
        <v>303</v>
      </c>
      <c r="J25" s="7"/>
      <c r="K25" s="30"/>
    </row>
    <row r="31" spans="2:11">
      <c r="B31" s="1" t="s">
        <v>304</v>
      </c>
    </row>
    <row r="32" spans="2:11">
      <c r="B32" s="3" t="s">
        <v>288</v>
      </c>
      <c r="C32" s="3" t="s">
        <v>116</v>
      </c>
      <c r="D32" s="3" t="s">
        <v>118</v>
      </c>
      <c r="E32" s="3" t="s">
        <v>305</v>
      </c>
      <c r="F32" s="69" t="s">
        <v>118</v>
      </c>
      <c r="G32" s="69" t="s">
        <v>305</v>
      </c>
      <c r="H32" s="69" t="s">
        <v>306</v>
      </c>
    </row>
    <row r="33" spans="2:8">
      <c r="B33" s="3" t="str">
        <f>$B$4</f>
        <v>Composite Dam (Plastic)</v>
      </c>
      <c r="C33" s="3" t="str">
        <f>B21</f>
        <v>&lt;1m</v>
      </c>
      <c r="D33" s="3" t="str">
        <f>GullyGrip_Blocking_Raw_Material_Costs[[#This Row],[Intervention Type]]&amp;GullyGrip_Blocking_Raw_Material_Costs[[#This Row],[Dimensions]]</f>
        <v>Composite Dam (Plastic)&lt;1m</v>
      </c>
      <c r="E33" s="44">
        <f>E34*0.66</f>
        <v>33.248642715288</v>
      </c>
      <c r="F33" s="67" t="str">
        <f>GullyGrip_Blocking_Raw_Material_Costs[[#This Row],[LOOKUP]]</f>
        <v>Composite Dam (Plastic)&lt;1m</v>
      </c>
      <c r="G33" s="58">
        <v>0</v>
      </c>
      <c r="H33" s="58">
        <v>0</v>
      </c>
    </row>
    <row r="34" spans="2:8">
      <c r="B34" s="3" t="str">
        <f t="shared" ref="B34:B37" si="0">$B$4</f>
        <v>Composite Dam (Plastic)</v>
      </c>
      <c r="C34" s="3" t="str">
        <f>B22</f>
        <v>&gt;1m - &lt;2m</v>
      </c>
      <c r="D34" s="3" t="str">
        <f>GullyGrip_Blocking_Raw_Material_Costs[[#This Row],[Intervention Type]]&amp;GullyGrip_Blocking_Raw_Material_Costs[[#This Row],[Dimensions]]</f>
        <v>Composite Dam (Plastic)&gt;1m - &lt;2m</v>
      </c>
      <c r="E34" s="44">
        <v>50.376731386799996</v>
      </c>
      <c r="F34" s="68" t="str">
        <f>GullyGrip_Blocking_Raw_Material_Costs[[#This Row],[LOOKUP]]</f>
        <v>Composite Dam (Plastic)&gt;1m - &lt;2m</v>
      </c>
      <c r="G34" s="45">
        <v>0</v>
      </c>
      <c r="H34" s="45">
        <v>0</v>
      </c>
    </row>
    <row r="35" spans="2:8">
      <c r="B35" s="3" t="str">
        <f t="shared" si="0"/>
        <v>Composite Dam (Plastic)</v>
      </c>
      <c r="C35" s="3" t="str">
        <f>B23</f>
        <v>&gt;2m - &lt;3m</v>
      </c>
      <c r="D35" s="3" t="str">
        <f>GullyGrip_Blocking_Raw_Material_Costs[[#This Row],[Intervention Type]]&amp;GullyGrip_Blocking_Raw_Material_Costs[[#This Row],[Dimensions]]</f>
        <v>Composite Dam (Plastic)&gt;2m - &lt;3m</v>
      </c>
      <c r="E35" s="44">
        <f>E34*1.66</f>
        <v>83.625374102087989</v>
      </c>
      <c r="F35" s="67" t="str">
        <f>GullyGrip_Blocking_Raw_Material_Costs[[#This Row],[LOOKUP]]</f>
        <v>Composite Dam (Plastic)&gt;2m - &lt;3m</v>
      </c>
      <c r="G35" s="58">
        <v>0</v>
      </c>
      <c r="H35" s="58">
        <v>0</v>
      </c>
    </row>
    <row r="36" spans="2:8">
      <c r="B36" s="3" t="str">
        <f t="shared" si="0"/>
        <v>Composite Dam (Plastic)</v>
      </c>
      <c r="C36" s="3" t="str">
        <f>B24</f>
        <v>&gt;3m - &lt;4m</v>
      </c>
      <c r="D36" s="3" t="str">
        <f>GullyGrip_Blocking_Raw_Material_Costs[[#This Row],[Intervention Type]]&amp;GullyGrip_Blocking_Raw_Material_Costs[[#This Row],[Dimensions]]</f>
        <v>Composite Dam (Plastic)&gt;3m - &lt;4m</v>
      </c>
      <c r="E36" s="44">
        <f>E34*2.33</f>
        <v>117.377784131244</v>
      </c>
      <c r="F36" s="68" t="str">
        <f>GullyGrip_Blocking_Raw_Material_Costs[[#This Row],[LOOKUP]]</f>
        <v>Composite Dam (Plastic)&gt;3m - &lt;4m</v>
      </c>
      <c r="G36" s="45">
        <v>0</v>
      </c>
      <c r="H36" s="45">
        <v>0</v>
      </c>
    </row>
    <row r="37" spans="2:8">
      <c r="B37" s="3" t="str">
        <f t="shared" si="0"/>
        <v>Composite Dam (Plastic)</v>
      </c>
      <c r="C37" s="3" t="str">
        <f>B25</f>
        <v>&gt;4m</v>
      </c>
      <c r="D37" s="3" t="str">
        <f>GullyGrip_Blocking_Raw_Material_Costs[[#This Row],[Intervention Type]]&amp;GullyGrip_Blocking_Raw_Material_Costs[[#This Row],[Dimensions]]</f>
        <v>Composite Dam (Plastic)&gt;4m</v>
      </c>
      <c r="E37" s="44">
        <f>E34*2.66</f>
        <v>134.00210548888799</v>
      </c>
      <c r="F37" s="67" t="str">
        <f>GullyGrip_Blocking_Raw_Material_Costs[[#This Row],[LOOKUP]]</f>
        <v>Composite Dam (Plastic)&gt;4m</v>
      </c>
      <c r="G37" s="58">
        <v>0</v>
      </c>
      <c r="H37" s="58">
        <v>0</v>
      </c>
    </row>
    <row r="38" spans="2:8">
      <c r="B38" s="3" t="str">
        <f>$B$5</f>
        <v>Composite Dam (Timber)</v>
      </c>
      <c r="C38" s="3" t="str">
        <f>C21</f>
        <v>&lt;1m (2 planks)</v>
      </c>
      <c r="D38" s="3" t="str">
        <f>GullyGrip_Blocking_Raw_Material_Costs[[#This Row],[Intervention Type]]&amp;GullyGrip_Blocking_Raw_Material_Costs[[#This Row],[Dimensions]]</f>
        <v>Composite Dam (Timber)&lt;1m (2 planks)</v>
      </c>
      <c r="E38" s="44">
        <v>10.67496</v>
      </c>
      <c r="F38" s="68" t="str">
        <f>GullyGrip_Blocking_Raw_Material_Costs[[#This Row],[LOOKUP]]</f>
        <v>Composite Dam (Timber)&lt;1m (2 planks)</v>
      </c>
      <c r="G38" s="45">
        <v>0</v>
      </c>
      <c r="H38" s="45">
        <v>0</v>
      </c>
    </row>
    <row r="39" spans="2:8">
      <c r="B39" s="3" t="str">
        <f t="shared" ref="B39:B40" si="1">$B$5</f>
        <v>Composite Dam (Timber)</v>
      </c>
      <c r="C39" s="3" t="str">
        <f>C22</f>
        <v>&gt;1m - &lt;2m (3 planks)</v>
      </c>
      <c r="D39" s="3" t="str">
        <f>GullyGrip_Blocking_Raw_Material_Costs[[#This Row],[Intervention Type]]&amp;GullyGrip_Blocking_Raw_Material_Costs[[#This Row],[Dimensions]]</f>
        <v>Composite Dam (Timber)&gt;1m - &lt;2m (3 planks)</v>
      </c>
      <c r="E39" s="44">
        <v>13.83531</v>
      </c>
      <c r="F39" s="67" t="str">
        <f>GullyGrip_Blocking_Raw_Material_Costs[[#This Row],[LOOKUP]]</f>
        <v>Composite Dam (Timber)&gt;1m - &lt;2m (3 planks)</v>
      </c>
      <c r="G39" s="58">
        <v>0</v>
      </c>
      <c r="H39" s="58">
        <v>0</v>
      </c>
    </row>
    <row r="40" spans="2:8">
      <c r="B40" s="3" t="str">
        <f t="shared" si="1"/>
        <v>Composite Dam (Timber)</v>
      </c>
      <c r="C40" s="3" t="str">
        <f>C23</f>
        <v>&gt;2m - &lt;3m (4 planks)</v>
      </c>
      <c r="D40" s="3" t="str">
        <f>GullyGrip_Blocking_Raw_Material_Costs[[#This Row],[Intervention Type]]&amp;GullyGrip_Blocking_Raw_Material_Costs[[#This Row],[Dimensions]]</f>
        <v>Composite Dam (Timber)&gt;2m - &lt;3m (4 planks)</v>
      </c>
      <c r="E40" s="44">
        <v>16.995660000000001</v>
      </c>
      <c r="F40" s="68" t="str">
        <f>GullyGrip_Blocking_Raw_Material_Costs[[#This Row],[LOOKUP]]</f>
        <v>Composite Dam (Timber)&gt;2m - &lt;3m (4 planks)</v>
      </c>
      <c r="G40" s="45">
        <v>0</v>
      </c>
      <c r="H40" s="45">
        <v>0</v>
      </c>
    </row>
    <row r="41" spans="2:8">
      <c r="B41" s="3" t="str">
        <f>$B$6</f>
        <v>Heather Bale Dam</v>
      </c>
      <c r="C41" s="3" t="str">
        <f>D21</f>
        <v>&lt;1m</v>
      </c>
      <c r="D41" s="3" t="str">
        <f>GullyGrip_Blocking_Raw_Material_Costs[[#This Row],[Intervention Type]]&amp;GullyGrip_Blocking_Raw_Material_Costs[[#This Row],[Dimensions]]</f>
        <v>Heather Bale Dam&lt;1m</v>
      </c>
      <c r="E41" s="44">
        <v>0.84</v>
      </c>
      <c r="F41" s="67" t="str">
        <f>GullyGrip_Blocking_Raw_Material_Costs[[#This Row],[LOOKUP]]</f>
        <v>Heather Bale Dam&lt;1m</v>
      </c>
      <c r="G41" s="36">
        <v>0.239975824</v>
      </c>
      <c r="H41" s="36">
        <v>425</v>
      </c>
    </row>
    <row r="42" spans="2:8">
      <c r="B42" s="3" t="str">
        <f t="shared" ref="B42:B45" si="2">$B$6</f>
        <v>Heather Bale Dam</v>
      </c>
      <c r="C42" s="3" t="str">
        <f>D22</f>
        <v>&gt;1m - &lt;2m</v>
      </c>
      <c r="D42" s="3" t="str">
        <f>GullyGrip_Blocking_Raw_Material_Costs[[#This Row],[Intervention Type]]&amp;GullyGrip_Blocking_Raw_Material_Costs[[#This Row],[Dimensions]]</f>
        <v>Heather Bale Dam&gt;1m - &lt;2m</v>
      </c>
      <c r="E42" s="44">
        <v>1.26</v>
      </c>
      <c r="F42" s="68" t="str">
        <f>GullyGrip_Blocking_Raw_Material_Costs[[#This Row],[LOOKUP]]</f>
        <v>Heather Bale Dam&gt;1m - &lt;2m</v>
      </c>
      <c r="G42" s="37">
        <v>0.36032406006006007</v>
      </c>
      <c r="H42" s="37">
        <v>283</v>
      </c>
    </row>
    <row r="43" spans="2:8">
      <c r="B43" s="3" t="str">
        <f t="shared" si="2"/>
        <v>Heather Bale Dam</v>
      </c>
      <c r="C43" s="3" t="str">
        <f>D23</f>
        <v>&gt;2m - &lt;3m</v>
      </c>
      <c r="D43" s="3" t="str">
        <f>GullyGrip_Blocking_Raw_Material_Costs[[#This Row],[Intervention Type]]&amp;GullyGrip_Blocking_Raw_Material_Costs[[#This Row],[Dimensions]]</f>
        <v>Heather Bale Dam&gt;2m - &lt;3m</v>
      </c>
      <c r="E43" s="44">
        <v>1.68</v>
      </c>
      <c r="F43" s="67" t="str">
        <f>GullyGrip_Blocking_Raw_Material_Costs[[#This Row],[LOOKUP]]</f>
        <v>Heather Bale Dam&gt;2m - &lt;3m</v>
      </c>
      <c r="G43" s="36">
        <v>0.47995164800000001</v>
      </c>
      <c r="H43" s="36">
        <v>213</v>
      </c>
    </row>
    <row r="44" spans="2:8">
      <c r="B44" s="3" t="str">
        <f t="shared" si="2"/>
        <v>Heather Bale Dam</v>
      </c>
      <c r="C44" s="3" t="str">
        <f>D24</f>
        <v>&gt;3m - &lt;4m</v>
      </c>
      <c r="D44" s="3" t="str">
        <f>GullyGrip_Blocking_Raw_Material_Costs[[#This Row],[Intervention Type]]&amp;GullyGrip_Blocking_Raw_Material_Costs[[#This Row],[Dimensions]]</f>
        <v>Heather Bale Dam&gt;3m - &lt;4m</v>
      </c>
      <c r="E44" s="44">
        <v>2.1</v>
      </c>
      <c r="F44" s="68" t="str">
        <f>GullyGrip_Blocking_Raw_Material_Costs[[#This Row],[LOOKUP]]</f>
        <v>Heather Bale Dam&gt;3m - &lt;4m</v>
      </c>
      <c r="G44" s="37">
        <v>0.59993956000000004</v>
      </c>
      <c r="H44" s="37">
        <v>170</v>
      </c>
    </row>
    <row r="45" spans="2:8">
      <c r="B45" s="3" t="str">
        <f t="shared" si="2"/>
        <v>Heather Bale Dam</v>
      </c>
      <c r="C45" s="3" t="str">
        <f>D25</f>
        <v>&gt;4m</v>
      </c>
      <c r="D45" s="3" t="str">
        <f>GullyGrip_Blocking_Raw_Material_Costs[[#This Row],[Intervention Type]]&amp;GullyGrip_Blocking_Raw_Material_Costs[[#This Row],[Dimensions]]</f>
        <v>Heather Bale Dam&gt;4m</v>
      </c>
      <c r="E45" s="44">
        <v>3.15</v>
      </c>
      <c r="F45" s="67" t="str">
        <f>GullyGrip_Blocking_Raw_Material_Costs[[#This Row],[LOOKUP]]</f>
        <v>Heather Bale Dam&gt;4m</v>
      </c>
      <c r="G45" s="36">
        <v>0.90216475187969936</v>
      </c>
      <c r="H45" s="36">
        <v>113</v>
      </c>
    </row>
    <row r="46" spans="2:8">
      <c r="B46" s="3" t="str">
        <f>$B$7</f>
        <v>Mineral Dam</v>
      </c>
      <c r="C46" s="3" t="str">
        <f>E21</f>
        <v>&lt;1m</v>
      </c>
      <c r="D46" s="3" t="str">
        <f>GullyGrip_Blocking_Raw_Material_Costs[[#This Row],[Intervention Type]]&amp;GullyGrip_Blocking_Raw_Material_Costs[[#This Row],[Dimensions]]</f>
        <v>Mineral Dam&lt;1m</v>
      </c>
      <c r="E46" s="44">
        <v>0</v>
      </c>
      <c r="F46" s="68" t="str">
        <f>GullyGrip_Blocking_Raw_Material_Costs[[#This Row],[LOOKUP]]</f>
        <v>Mineral Dam&lt;1m</v>
      </c>
      <c r="G46" s="45">
        <v>0</v>
      </c>
      <c r="H46" s="45">
        <v>0</v>
      </c>
    </row>
    <row r="47" spans="2:8">
      <c r="B47" s="3" t="str">
        <f t="shared" ref="B47:B49" si="3">$B$7</f>
        <v>Mineral Dam</v>
      </c>
      <c r="C47" s="3" t="str">
        <f>E22</f>
        <v>&gt;1m - &lt;2m</v>
      </c>
      <c r="D47" s="3" t="str">
        <f>GullyGrip_Blocking_Raw_Material_Costs[[#This Row],[Intervention Type]]&amp;GullyGrip_Blocking_Raw_Material_Costs[[#This Row],[Dimensions]]</f>
        <v>Mineral Dam&gt;1m - &lt;2m</v>
      </c>
      <c r="E47" s="44">
        <v>0</v>
      </c>
      <c r="F47" s="67" t="str">
        <f>GullyGrip_Blocking_Raw_Material_Costs[[#This Row],[LOOKUP]]</f>
        <v>Mineral Dam&gt;1m - &lt;2m</v>
      </c>
      <c r="G47" s="58">
        <v>0</v>
      </c>
      <c r="H47" s="46">
        <v>0</v>
      </c>
    </row>
    <row r="48" spans="2:8">
      <c r="B48" s="3" t="str">
        <f t="shared" si="3"/>
        <v>Mineral Dam</v>
      </c>
      <c r="C48" s="3" t="str">
        <f>E23</f>
        <v>&gt;2m - &lt;3m</v>
      </c>
      <c r="D48" s="3" t="str">
        <f>GullyGrip_Blocking_Raw_Material_Costs[[#This Row],[Intervention Type]]&amp;GullyGrip_Blocking_Raw_Material_Costs[[#This Row],[Dimensions]]</f>
        <v>Mineral Dam&gt;2m - &lt;3m</v>
      </c>
      <c r="E48" s="44">
        <v>0</v>
      </c>
      <c r="F48" s="68" t="str">
        <f>GullyGrip_Blocking_Raw_Material_Costs[[#This Row],[LOOKUP]]</f>
        <v>Mineral Dam&gt;2m - &lt;3m</v>
      </c>
      <c r="G48" s="45">
        <v>0</v>
      </c>
      <c r="H48" s="45">
        <v>0</v>
      </c>
    </row>
    <row r="49" spans="2:8">
      <c r="B49" s="3" t="str">
        <f t="shared" si="3"/>
        <v>Mineral Dam</v>
      </c>
      <c r="C49" s="3" t="str">
        <f>E24</f>
        <v>&gt;3m - &lt;4m</v>
      </c>
      <c r="D49" s="3" t="str">
        <f>GullyGrip_Blocking_Raw_Material_Costs[[#This Row],[Intervention Type]]&amp;GullyGrip_Blocking_Raw_Material_Costs[[#This Row],[Dimensions]]</f>
        <v>Mineral Dam&gt;3m - &lt;4m</v>
      </c>
      <c r="E49" s="44">
        <v>0</v>
      </c>
      <c r="F49" s="67" t="str">
        <f>GullyGrip_Blocking_Raw_Material_Costs[[#This Row],[LOOKUP]]</f>
        <v>Mineral Dam&gt;3m - &lt;4m</v>
      </c>
      <c r="G49" s="58">
        <v>0</v>
      </c>
      <c r="H49" s="58">
        <v>0</v>
      </c>
    </row>
    <row r="50" spans="2:8">
      <c r="B50" s="3" t="str">
        <f>$B$8</f>
        <v>Peat Dam</v>
      </c>
      <c r="C50" s="3" t="str">
        <f>F21</f>
        <v>&lt;1m</v>
      </c>
      <c r="D50" s="3" t="str">
        <f>GullyGrip_Blocking_Raw_Material_Costs[[#This Row],[Intervention Type]]&amp;GullyGrip_Blocking_Raw_Material_Costs[[#This Row],[Dimensions]]</f>
        <v>Peat Dam&lt;1m</v>
      </c>
      <c r="E50" s="44">
        <v>0</v>
      </c>
      <c r="F50" s="68" t="str">
        <f>GullyGrip_Blocking_Raw_Material_Costs[[#This Row],[LOOKUP]]</f>
        <v>Peat Dam&lt;1m</v>
      </c>
      <c r="G50" s="45">
        <v>0</v>
      </c>
      <c r="H50" s="45">
        <v>0</v>
      </c>
    </row>
    <row r="51" spans="2:8">
      <c r="B51" s="3" t="str">
        <f t="shared" ref="B51:B54" si="4">$B$8</f>
        <v>Peat Dam</v>
      </c>
      <c r="C51" s="3" t="str">
        <f>F22</f>
        <v>&gt;1m - &lt;2m</v>
      </c>
      <c r="D51" s="3" t="str">
        <f>GullyGrip_Blocking_Raw_Material_Costs[[#This Row],[Intervention Type]]&amp;GullyGrip_Blocking_Raw_Material_Costs[[#This Row],[Dimensions]]</f>
        <v>Peat Dam&gt;1m - &lt;2m</v>
      </c>
      <c r="E51" s="44">
        <v>0</v>
      </c>
      <c r="F51" s="67" t="str">
        <f>GullyGrip_Blocking_Raw_Material_Costs[[#This Row],[LOOKUP]]</f>
        <v>Peat Dam&gt;1m - &lt;2m</v>
      </c>
      <c r="G51" s="58">
        <v>0</v>
      </c>
      <c r="H51" s="58">
        <v>0</v>
      </c>
    </row>
    <row r="52" spans="2:8">
      <c r="B52" s="3" t="str">
        <f t="shared" si="4"/>
        <v>Peat Dam</v>
      </c>
      <c r="C52" s="3" t="str">
        <f>F23</f>
        <v>&gt;2m - &lt;3m</v>
      </c>
      <c r="D52" s="3" t="str">
        <f>GullyGrip_Blocking_Raw_Material_Costs[[#This Row],[Intervention Type]]&amp;GullyGrip_Blocking_Raw_Material_Costs[[#This Row],[Dimensions]]</f>
        <v>Peat Dam&gt;2m - &lt;3m</v>
      </c>
      <c r="E52" s="44">
        <v>0</v>
      </c>
      <c r="F52" s="68" t="str">
        <f>GullyGrip_Blocking_Raw_Material_Costs[[#This Row],[LOOKUP]]</f>
        <v>Peat Dam&gt;2m - &lt;3m</v>
      </c>
      <c r="G52" s="45">
        <v>0</v>
      </c>
      <c r="H52" s="45">
        <v>0</v>
      </c>
    </row>
    <row r="53" spans="2:8">
      <c r="B53" s="3" t="str">
        <f t="shared" si="4"/>
        <v>Peat Dam</v>
      </c>
      <c r="C53" s="3" t="str">
        <f>F24</f>
        <v>&gt;3m - &lt;4m</v>
      </c>
      <c r="D53" s="3" t="str">
        <f>GullyGrip_Blocking_Raw_Material_Costs[[#This Row],[Intervention Type]]&amp;GullyGrip_Blocking_Raw_Material_Costs[[#This Row],[Dimensions]]</f>
        <v>Peat Dam&gt;3m - &lt;4m</v>
      </c>
      <c r="E53" s="44">
        <v>0</v>
      </c>
      <c r="F53" s="67" t="str">
        <f>GullyGrip_Blocking_Raw_Material_Costs[[#This Row],[LOOKUP]]</f>
        <v>Peat Dam&gt;3m - &lt;4m</v>
      </c>
      <c r="G53" s="58">
        <v>0</v>
      </c>
      <c r="H53" s="58">
        <v>0</v>
      </c>
    </row>
    <row r="54" spans="2:8">
      <c r="B54" s="3" t="str">
        <f t="shared" si="4"/>
        <v>Peat Dam</v>
      </c>
      <c r="C54" s="3" t="str">
        <f>F25</f>
        <v>&gt;4m</v>
      </c>
      <c r="D54" s="3" t="str">
        <f>GullyGrip_Blocking_Raw_Material_Costs[[#This Row],[Intervention Type]]&amp;GullyGrip_Blocking_Raw_Material_Costs[[#This Row],[Dimensions]]</f>
        <v>Peat Dam&gt;4m</v>
      </c>
      <c r="E54" s="44">
        <v>0</v>
      </c>
      <c r="F54" s="68" t="str">
        <f>GullyGrip_Blocking_Raw_Material_Costs[[#This Row],[LOOKUP]]</f>
        <v>Peat Dam&gt;4m</v>
      </c>
      <c r="G54" s="45">
        <v>0</v>
      </c>
      <c r="H54" s="45">
        <v>0</v>
      </c>
    </row>
    <row r="55" spans="2:8">
      <c r="B55" t="str">
        <f>$B$9</f>
        <v>Peat Wave Dam</v>
      </c>
      <c r="C55" t="str">
        <f>G21</f>
        <v>&lt;1m</v>
      </c>
      <c r="D55" s="3" t="str">
        <f>GullyGrip_Blocking_Raw_Material_Costs[[#This Row],[Intervention Type]]&amp;GullyGrip_Blocking_Raw_Material_Costs[[#This Row],[Dimensions]]</f>
        <v>Peat Wave Dam&lt;1m</v>
      </c>
      <c r="E55" s="44">
        <v>0</v>
      </c>
      <c r="F55" s="67" t="str">
        <f>GullyGrip_Blocking_Raw_Material_Costs[[#This Row],[LOOKUP]]</f>
        <v>Peat Wave Dam&lt;1m</v>
      </c>
      <c r="G55" s="58">
        <v>0</v>
      </c>
      <c r="H55" s="58">
        <v>0</v>
      </c>
    </row>
    <row r="56" spans="2:8">
      <c r="B56" t="str">
        <f t="shared" ref="B56:B59" si="5">$B$9</f>
        <v>Peat Wave Dam</v>
      </c>
      <c r="C56" t="str">
        <f>G22</f>
        <v>&gt;1m - &lt;2m</v>
      </c>
      <c r="D56" s="3" t="str">
        <f>GullyGrip_Blocking_Raw_Material_Costs[[#This Row],[Intervention Type]]&amp;GullyGrip_Blocking_Raw_Material_Costs[[#This Row],[Dimensions]]</f>
        <v>Peat Wave Dam&gt;1m - &lt;2m</v>
      </c>
      <c r="E56" s="44">
        <v>0</v>
      </c>
      <c r="F56" s="68" t="str">
        <f>GullyGrip_Blocking_Raw_Material_Costs[[#This Row],[LOOKUP]]</f>
        <v>Peat Wave Dam&gt;1m - &lt;2m</v>
      </c>
      <c r="G56" s="45">
        <v>0</v>
      </c>
      <c r="H56" s="45">
        <v>0</v>
      </c>
    </row>
    <row r="57" spans="2:8">
      <c r="B57" t="str">
        <f t="shared" si="5"/>
        <v>Peat Wave Dam</v>
      </c>
      <c r="C57" t="str">
        <f>G23</f>
        <v>&gt;2m - &lt;3m</v>
      </c>
      <c r="D57" s="3" t="str">
        <f>GullyGrip_Blocking_Raw_Material_Costs[[#This Row],[Intervention Type]]&amp;GullyGrip_Blocking_Raw_Material_Costs[[#This Row],[Dimensions]]</f>
        <v>Peat Wave Dam&gt;2m - &lt;3m</v>
      </c>
      <c r="E57" s="44">
        <v>0</v>
      </c>
      <c r="F57" s="67" t="str">
        <f>GullyGrip_Blocking_Raw_Material_Costs[[#This Row],[LOOKUP]]</f>
        <v>Peat Wave Dam&gt;2m - &lt;3m</v>
      </c>
      <c r="G57" s="58">
        <v>0</v>
      </c>
      <c r="H57" s="58">
        <v>0</v>
      </c>
    </row>
    <row r="58" spans="2:8">
      <c r="B58" t="str">
        <f t="shared" si="5"/>
        <v>Peat Wave Dam</v>
      </c>
      <c r="C58" t="str">
        <f>G24</f>
        <v>&gt;3m - &lt;4m</v>
      </c>
      <c r="D58" s="3" t="str">
        <f>GullyGrip_Blocking_Raw_Material_Costs[[#This Row],[Intervention Type]]&amp;GullyGrip_Blocking_Raw_Material_Costs[[#This Row],[Dimensions]]</f>
        <v>Peat Wave Dam&gt;3m - &lt;4m</v>
      </c>
      <c r="E58" s="44">
        <v>0</v>
      </c>
      <c r="F58" s="68" t="str">
        <f>GullyGrip_Blocking_Raw_Material_Costs[[#This Row],[LOOKUP]]</f>
        <v>Peat Wave Dam&gt;3m - &lt;4m</v>
      </c>
      <c r="G58" s="37">
        <v>0</v>
      </c>
      <c r="H58" s="37">
        <v>0</v>
      </c>
    </row>
    <row r="59" spans="2:8">
      <c r="B59" t="str">
        <f t="shared" si="5"/>
        <v>Peat Wave Dam</v>
      </c>
      <c r="C59" t="str">
        <f>G25</f>
        <v>&gt;4m</v>
      </c>
      <c r="D59" s="3" t="str">
        <f>GullyGrip_Blocking_Raw_Material_Costs[[#This Row],[Intervention Type]]&amp;GullyGrip_Blocking_Raw_Material_Costs[[#This Row],[Dimensions]]</f>
        <v>Peat Wave Dam&gt;4m</v>
      </c>
      <c r="E59" s="44">
        <v>0</v>
      </c>
      <c r="F59" s="67" t="str">
        <f>GullyGrip_Blocking_Raw_Material_Costs[[#This Row],[LOOKUP]]</f>
        <v>Peat Wave Dam&gt;4m</v>
      </c>
      <c r="G59" s="36">
        <v>0</v>
      </c>
      <c r="H59" s="36">
        <v>0</v>
      </c>
    </row>
    <row r="60" spans="2:8">
      <c r="B60" t="str">
        <f>$B$10</f>
        <v>Peat Wave Dam/Zippering</v>
      </c>
      <c r="C60" t="str">
        <f>H21</f>
        <v>&lt;1m</v>
      </c>
      <c r="D60" s="3" t="str">
        <f>GullyGrip_Blocking_Raw_Material_Costs[[#This Row],[Intervention Type]]&amp;GullyGrip_Blocking_Raw_Material_Costs[[#This Row],[Dimensions]]</f>
        <v>Peat Wave Dam/Zippering&lt;1m</v>
      </c>
      <c r="E60" s="44">
        <v>0</v>
      </c>
      <c r="F60" s="68" t="str">
        <f>GullyGrip_Blocking_Raw_Material_Costs[[#This Row],[LOOKUP]]</f>
        <v>Peat Wave Dam/Zippering&lt;1m</v>
      </c>
      <c r="G60" s="37">
        <v>0</v>
      </c>
      <c r="H60" s="37">
        <v>0</v>
      </c>
    </row>
    <row r="61" spans="2:8">
      <c r="B61" t="str">
        <f t="shared" ref="B61:B64" si="6">$B$10</f>
        <v>Peat Wave Dam/Zippering</v>
      </c>
      <c r="C61" t="str">
        <f>H22</f>
        <v>&gt;1m - &lt;2m</v>
      </c>
      <c r="D61" s="3" t="str">
        <f>GullyGrip_Blocking_Raw_Material_Costs[[#This Row],[Intervention Type]]&amp;GullyGrip_Blocking_Raw_Material_Costs[[#This Row],[Dimensions]]</f>
        <v>Peat Wave Dam/Zippering&gt;1m - &lt;2m</v>
      </c>
      <c r="E61" s="44">
        <v>0</v>
      </c>
      <c r="F61" s="67" t="str">
        <f>GullyGrip_Blocking_Raw_Material_Costs[[#This Row],[LOOKUP]]</f>
        <v>Peat Wave Dam/Zippering&gt;1m - &lt;2m</v>
      </c>
      <c r="G61" s="36">
        <v>0</v>
      </c>
      <c r="H61" s="36">
        <v>0</v>
      </c>
    </row>
    <row r="62" spans="2:8">
      <c r="B62" t="str">
        <f t="shared" si="6"/>
        <v>Peat Wave Dam/Zippering</v>
      </c>
      <c r="C62" t="str">
        <f>H23</f>
        <v>&gt;2m - &lt;3m</v>
      </c>
      <c r="D62" s="3" t="str">
        <f>GullyGrip_Blocking_Raw_Material_Costs[[#This Row],[Intervention Type]]&amp;GullyGrip_Blocking_Raw_Material_Costs[[#This Row],[Dimensions]]</f>
        <v>Peat Wave Dam/Zippering&gt;2m - &lt;3m</v>
      </c>
      <c r="E62" s="44">
        <v>0</v>
      </c>
      <c r="F62" s="68" t="str">
        <f>GullyGrip_Blocking_Raw_Material_Costs[[#This Row],[LOOKUP]]</f>
        <v>Peat Wave Dam/Zippering&gt;2m - &lt;3m</v>
      </c>
      <c r="G62" s="37">
        <v>0</v>
      </c>
      <c r="H62" s="37">
        <v>0</v>
      </c>
    </row>
    <row r="63" spans="2:8">
      <c r="B63" t="str">
        <f t="shared" si="6"/>
        <v>Peat Wave Dam/Zippering</v>
      </c>
      <c r="C63" t="str">
        <f>H24</f>
        <v>&gt;3m - &lt;4m</v>
      </c>
      <c r="D63" s="3" t="str">
        <f>GullyGrip_Blocking_Raw_Material_Costs[[#This Row],[Intervention Type]]&amp;GullyGrip_Blocking_Raw_Material_Costs[[#This Row],[Dimensions]]</f>
        <v>Peat Wave Dam/Zippering&gt;3m - &lt;4m</v>
      </c>
      <c r="E63" s="44">
        <v>0</v>
      </c>
      <c r="F63" s="67" t="str">
        <f>GullyGrip_Blocking_Raw_Material_Costs[[#This Row],[LOOKUP]]</f>
        <v>Peat Wave Dam/Zippering&gt;3m - &lt;4m</v>
      </c>
      <c r="G63" s="36">
        <v>0</v>
      </c>
      <c r="H63" s="36">
        <v>0</v>
      </c>
    </row>
    <row r="64" spans="2:8">
      <c r="B64" t="str">
        <f t="shared" si="6"/>
        <v>Peat Wave Dam/Zippering</v>
      </c>
      <c r="C64" t="str">
        <f>H25</f>
        <v>&gt;4m</v>
      </c>
      <c r="D64" s="3" t="str">
        <f>GullyGrip_Blocking_Raw_Material_Costs[[#This Row],[Intervention Type]]&amp;GullyGrip_Blocking_Raw_Material_Costs[[#This Row],[Dimensions]]</f>
        <v>Peat Wave Dam/Zippering&gt;4m</v>
      </c>
      <c r="E64" s="44">
        <v>0</v>
      </c>
      <c r="F64" s="68" t="str">
        <f>GullyGrip_Blocking_Raw_Material_Costs[[#This Row],[LOOKUP]]</f>
        <v>Peat Wave Dam/Zippering&gt;4m</v>
      </c>
      <c r="G64" s="37">
        <v>0</v>
      </c>
      <c r="H64" s="37">
        <v>0</v>
      </c>
    </row>
    <row r="65" spans="2:8">
      <c r="B65" t="str">
        <f>$B$11</f>
        <v>Plastic Piling</v>
      </c>
      <c r="C65" s="31" t="str">
        <f>I21</f>
        <v>&lt;1m</v>
      </c>
      <c r="D65" s="3" t="str">
        <f>GullyGrip_Blocking_Raw_Material_Costs[[#This Row],[Intervention Type]]&amp;GullyGrip_Blocking_Raw_Material_Costs[[#This Row],[Dimensions]]</f>
        <v>Plastic Piling&lt;1m</v>
      </c>
      <c r="E65" s="44">
        <f>E66*0.66</f>
        <v>33.248642715288</v>
      </c>
      <c r="F65" s="67" t="str">
        <f>GullyGrip_Blocking_Raw_Material_Costs[[#This Row],[LOOKUP]]</f>
        <v>Plastic Piling&lt;1m</v>
      </c>
      <c r="G65" s="36">
        <v>0</v>
      </c>
      <c r="H65" s="36">
        <v>0</v>
      </c>
    </row>
    <row r="66" spans="2:8">
      <c r="B66" t="str">
        <f t="shared" ref="B66:B69" si="7">$B$11</f>
        <v>Plastic Piling</v>
      </c>
      <c r="C66" s="31" t="str">
        <f>I22</f>
        <v>&gt;1m - &lt;2m</v>
      </c>
      <c r="D66" s="3" t="str">
        <f>GullyGrip_Blocking_Raw_Material_Costs[[#This Row],[Intervention Type]]&amp;GullyGrip_Blocking_Raw_Material_Costs[[#This Row],[Dimensions]]</f>
        <v>Plastic Piling&gt;1m - &lt;2m</v>
      </c>
      <c r="E66" s="44">
        <v>50.376731386799996</v>
      </c>
      <c r="F66" s="68" t="str">
        <f>GullyGrip_Blocking_Raw_Material_Costs[[#This Row],[LOOKUP]]</f>
        <v>Plastic Piling&gt;1m - &lt;2m</v>
      </c>
      <c r="G66" s="37">
        <v>0</v>
      </c>
      <c r="H66" s="37">
        <v>0</v>
      </c>
    </row>
    <row r="67" spans="2:8">
      <c r="B67" t="str">
        <f t="shared" si="7"/>
        <v>Plastic Piling</v>
      </c>
      <c r="C67" s="31" t="str">
        <f>I23</f>
        <v>&gt;2m - &lt;3m</v>
      </c>
      <c r="D67" s="3" t="str">
        <f>GullyGrip_Blocking_Raw_Material_Costs[[#This Row],[Intervention Type]]&amp;GullyGrip_Blocking_Raw_Material_Costs[[#This Row],[Dimensions]]</f>
        <v>Plastic Piling&gt;2m - &lt;3m</v>
      </c>
      <c r="E67" s="44">
        <f>E66*1.66</f>
        <v>83.625374102087989</v>
      </c>
      <c r="F67" s="67" t="str">
        <f>GullyGrip_Blocking_Raw_Material_Costs[[#This Row],[LOOKUP]]</f>
        <v>Plastic Piling&gt;2m - &lt;3m</v>
      </c>
      <c r="G67" s="36">
        <v>0</v>
      </c>
      <c r="H67" s="36">
        <v>0</v>
      </c>
    </row>
    <row r="68" spans="2:8">
      <c r="B68" t="str">
        <f t="shared" si="7"/>
        <v>Plastic Piling</v>
      </c>
      <c r="C68" s="31" t="str">
        <f>I24</f>
        <v>&gt;3m - &lt;4m</v>
      </c>
      <c r="D68" s="3" t="str">
        <f>GullyGrip_Blocking_Raw_Material_Costs[[#This Row],[Intervention Type]]&amp;GullyGrip_Blocking_Raw_Material_Costs[[#This Row],[Dimensions]]</f>
        <v>Plastic Piling&gt;3m - &lt;4m</v>
      </c>
      <c r="E68" s="44">
        <f>E66*2.33</f>
        <v>117.377784131244</v>
      </c>
      <c r="F68" s="68" t="str">
        <f>GullyGrip_Blocking_Raw_Material_Costs[[#This Row],[LOOKUP]]</f>
        <v>Plastic Piling&gt;3m - &lt;4m</v>
      </c>
      <c r="G68" s="37">
        <v>0</v>
      </c>
      <c r="H68" s="37">
        <v>0</v>
      </c>
    </row>
    <row r="69" spans="2:8">
      <c r="B69" t="str">
        <f t="shared" si="7"/>
        <v>Plastic Piling</v>
      </c>
      <c r="C69" s="31" t="str">
        <f>I25</f>
        <v>&gt;4m</v>
      </c>
      <c r="D69" s="3" t="str">
        <f>GullyGrip_Blocking_Raw_Material_Costs[[#This Row],[Intervention Type]]&amp;GullyGrip_Blocking_Raw_Material_Costs[[#This Row],[Dimensions]]</f>
        <v>Plastic Piling&gt;4m</v>
      </c>
      <c r="E69" s="44">
        <f>E66*2.66</f>
        <v>134.00210548888799</v>
      </c>
      <c r="F69" s="67" t="str">
        <f>GullyGrip_Blocking_Raw_Material_Costs[[#This Row],[LOOKUP]]</f>
        <v>Plastic Piling&gt;4m</v>
      </c>
      <c r="G69" s="36">
        <v>0</v>
      </c>
      <c r="H69" s="36">
        <v>0</v>
      </c>
    </row>
    <row r="70" spans="2:8">
      <c r="B70" t="str">
        <f>$B$12</f>
        <v>Stone Dam</v>
      </c>
      <c r="C70" t="str">
        <f>J21</f>
        <v>&lt;1m (1 unit)</v>
      </c>
      <c r="D70" s="3" t="str">
        <f>GullyGrip_Blocking_Raw_Material_Costs[[#This Row],[Intervention Type]]&amp;GullyGrip_Blocking_Raw_Material_Costs[[#This Row],[Dimensions]]</f>
        <v>Stone Dam&lt;1m (1 unit)</v>
      </c>
      <c r="E70" s="44">
        <v>72.916072880000002</v>
      </c>
      <c r="F70" s="68" t="str">
        <f>GullyGrip_Blocking_Raw_Material_Costs[[#This Row],[LOOKUP]]</f>
        <v>Stone Dam&lt;1m (1 unit)</v>
      </c>
      <c r="G70" s="37">
        <v>0</v>
      </c>
      <c r="H70" s="37">
        <v>0</v>
      </c>
    </row>
    <row r="71" spans="2:8">
      <c r="B71" t="str">
        <f t="shared" ref="B71:B73" si="8">$B$12</f>
        <v>Stone Dam</v>
      </c>
      <c r="C71" t="str">
        <f>J22</f>
        <v>&gt;1m - &lt;2m (2 units)</v>
      </c>
      <c r="D71" s="3" t="str">
        <f>GullyGrip_Blocking_Raw_Material_Costs[[#This Row],[Intervention Type]]&amp;GullyGrip_Blocking_Raw_Material_Costs[[#This Row],[Dimensions]]</f>
        <v>Stone Dam&gt;1m - &lt;2m (2 units)</v>
      </c>
      <c r="E71" s="44">
        <f>E70*2</f>
        <v>145.83214576</v>
      </c>
      <c r="F71" s="67" t="str">
        <f>GullyGrip_Blocking_Raw_Material_Costs[[#This Row],[LOOKUP]]</f>
        <v>Stone Dam&gt;1m - &lt;2m (2 units)</v>
      </c>
      <c r="G71" s="36">
        <v>0</v>
      </c>
      <c r="H71" s="36">
        <v>0</v>
      </c>
    </row>
    <row r="72" spans="2:8">
      <c r="B72" t="str">
        <f t="shared" si="8"/>
        <v>Stone Dam</v>
      </c>
      <c r="C72" t="str">
        <f>J23</f>
        <v>&gt;2m - &lt;3m (3 units)</v>
      </c>
      <c r="D72" s="3" t="str">
        <f>GullyGrip_Blocking_Raw_Material_Costs[[#This Row],[Intervention Type]]&amp;GullyGrip_Blocking_Raw_Material_Costs[[#This Row],[Dimensions]]</f>
        <v>Stone Dam&gt;2m - &lt;3m (3 units)</v>
      </c>
      <c r="E72" s="44">
        <f>E70*3</f>
        <v>218.74821864</v>
      </c>
      <c r="F72" s="68" t="str">
        <f>GullyGrip_Blocking_Raw_Material_Costs[[#This Row],[LOOKUP]]</f>
        <v>Stone Dam&gt;2m - &lt;3m (3 units)</v>
      </c>
      <c r="G72" s="37">
        <v>0</v>
      </c>
      <c r="H72" s="37">
        <v>0</v>
      </c>
    </row>
    <row r="73" spans="2:8">
      <c r="B73" t="str">
        <f t="shared" si="8"/>
        <v>Stone Dam</v>
      </c>
      <c r="C73" t="str">
        <f>J24</f>
        <v>&gt;3m - &lt;4m (4 units)</v>
      </c>
      <c r="D73" s="3" t="str">
        <f>GullyGrip_Blocking_Raw_Material_Costs[[#This Row],[Intervention Type]]&amp;GullyGrip_Blocking_Raw_Material_Costs[[#This Row],[Dimensions]]</f>
        <v>Stone Dam&gt;3m - &lt;4m (4 units)</v>
      </c>
      <c r="E73" s="44">
        <f>E70*4</f>
        <v>291.66429152000001</v>
      </c>
      <c r="F73" s="67" t="str">
        <f>GullyGrip_Blocking_Raw_Material_Costs[[#This Row],[LOOKUP]]</f>
        <v>Stone Dam&gt;3m - &lt;4m (4 units)</v>
      </c>
      <c r="G73" s="36">
        <v>0</v>
      </c>
      <c r="H73" s="36">
        <v>0</v>
      </c>
    </row>
    <row r="74" spans="2:8">
      <c r="B74" t="str">
        <f>$B$13</f>
        <v>Timber Dam</v>
      </c>
      <c r="C74" t="str">
        <f>K21</f>
        <v>&lt;1m (2 planks)</v>
      </c>
      <c r="D74" s="3" t="str">
        <f>GullyGrip_Blocking_Raw_Material_Costs[[#This Row],[Intervention Type]]&amp;GullyGrip_Blocking_Raw_Material_Costs[[#This Row],[Dimensions]]</f>
        <v>Timber Dam&lt;1m (2 planks)</v>
      </c>
      <c r="E74" s="44">
        <v>10.67496</v>
      </c>
      <c r="F74" s="68" t="str">
        <f>GullyGrip_Blocking_Raw_Material_Costs[[#This Row],[LOOKUP]]</f>
        <v>Timber Dam&lt;1m (2 planks)</v>
      </c>
      <c r="G74" s="37">
        <v>0</v>
      </c>
      <c r="H74" s="37">
        <v>0</v>
      </c>
    </row>
    <row r="75" spans="2:8">
      <c r="B75" t="str">
        <f t="shared" ref="B75:B76" si="9">$B$13</f>
        <v>Timber Dam</v>
      </c>
      <c r="C75" t="str">
        <f>K22</f>
        <v>&gt;1m - &lt;2m (3 planks)</v>
      </c>
      <c r="D75" s="3" t="str">
        <f>GullyGrip_Blocking_Raw_Material_Costs[[#This Row],[Intervention Type]]&amp;GullyGrip_Blocking_Raw_Material_Costs[[#This Row],[Dimensions]]</f>
        <v>Timber Dam&gt;1m - &lt;2m (3 planks)</v>
      </c>
      <c r="E75" s="44">
        <v>13.83531</v>
      </c>
      <c r="F75" s="67" t="str">
        <f>GullyGrip_Blocking_Raw_Material_Costs[[#This Row],[LOOKUP]]</f>
        <v>Timber Dam&gt;1m - &lt;2m (3 planks)</v>
      </c>
      <c r="G75" s="36">
        <v>0</v>
      </c>
      <c r="H75" s="36">
        <v>0</v>
      </c>
    </row>
    <row r="76" spans="2:8">
      <c r="B76" t="str">
        <f t="shared" si="9"/>
        <v>Timber Dam</v>
      </c>
      <c r="C76" t="str">
        <f>K23</f>
        <v>&gt;2m - &lt;3m (4 planks)</v>
      </c>
      <c r="D76" s="3" t="str">
        <f>GullyGrip_Blocking_Raw_Material_Costs[[#This Row],[Intervention Type]]&amp;GullyGrip_Blocking_Raw_Material_Costs[[#This Row],[Dimensions]]</f>
        <v>Timber Dam&gt;2m - &lt;3m (4 planks)</v>
      </c>
      <c r="E76" s="44">
        <v>16.995660000000001</v>
      </c>
      <c r="F76" s="68" t="str">
        <f>GullyGrip_Blocking_Raw_Material_Costs[[#This Row],[LOOKUP]]</f>
        <v>Timber Dam&gt;2m - &lt;3m (4 planks)</v>
      </c>
      <c r="G76" s="37">
        <v>0</v>
      </c>
      <c r="H76" s="37">
        <v>0</v>
      </c>
    </row>
    <row r="82" spans="2:5">
      <c r="B82" s="1" t="s">
        <v>307</v>
      </c>
    </row>
    <row r="83" spans="2:5">
      <c r="B83" s="12" t="s">
        <v>288</v>
      </c>
      <c r="C83" s="13" t="s">
        <v>305</v>
      </c>
      <c r="D83" s="8" t="s">
        <v>118</v>
      </c>
      <c r="E83" s="9" t="s">
        <v>306</v>
      </c>
    </row>
    <row r="84" spans="2:5">
      <c r="B84" s="35" t="str">
        <f t="shared" ref="B84:B93" si="10">B4</f>
        <v>Composite Dam (Plastic)</v>
      </c>
      <c r="C84" s="26" cm="1">
        <f t="array" ref="C84">Project_Vehicle_Costs[Delivery HGV]</f>
        <v>0.98495999999999995</v>
      </c>
      <c r="D84" s="32" t="str">
        <f t="shared" ref="D84:D127" si="11">D33</f>
        <v>Composite Dam (Plastic)&lt;1m</v>
      </c>
      <c r="E84" s="48">
        <f>E85*1.5</f>
        <v>252</v>
      </c>
    </row>
    <row r="85" spans="2:5">
      <c r="B85" s="38" t="str">
        <f t="shared" si="10"/>
        <v>Composite Dam (Timber)</v>
      </c>
      <c r="C85" s="25" cm="1">
        <f t="array" ref="C85">Project_Vehicle_Costs[Delivery HGV]</f>
        <v>0.98495999999999995</v>
      </c>
      <c r="D85" s="33" t="str">
        <f t="shared" si="11"/>
        <v>Composite Dam (Plastic)&gt;1m - &lt;2m</v>
      </c>
      <c r="E85" s="49">
        <v>168</v>
      </c>
    </row>
    <row r="86" spans="2:5">
      <c r="B86" s="35" t="str">
        <f t="shared" si="10"/>
        <v>Heather Bale Dam</v>
      </c>
      <c r="C86" s="26" cm="1">
        <f t="array" ref="C86">Project_Vehicle_Costs[17t Delivery]</f>
        <v>1.2018599999999999</v>
      </c>
      <c r="D86" s="32" t="str">
        <f t="shared" si="11"/>
        <v>Composite Dam (Plastic)&gt;2m - &lt;3m</v>
      </c>
      <c r="E86" s="48">
        <v>101</v>
      </c>
    </row>
    <row r="87" spans="2:5">
      <c r="B87" s="38" t="str">
        <f t="shared" si="10"/>
        <v>Mineral Dam</v>
      </c>
      <c r="C87" s="25">
        <v>0</v>
      </c>
      <c r="D87" s="33" t="str">
        <f t="shared" si="11"/>
        <v>Composite Dam (Plastic)&gt;3m - &lt;4m</v>
      </c>
      <c r="E87" s="49">
        <v>72</v>
      </c>
    </row>
    <row r="88" spans="2:5">
      <c r="B88" s="35" t="str">
        <f t="shared" si="10"/>
        <v>Peat Dam</v>
      </c>
      <c r="C88" s="26">
        <v>0</v>
      </c>
      <c r="D88" s="32" t="str">
        <f t="shared" si="11"/>
        <v>Composite Dam (Plastic)&gt;4m</v>
      </c>
      <c r="E88" s="48">
        <v>63</v>
      </c>
    </row>
    <row r="89" spans="2:5">
      <c r="B89" s="38" t="str">
        <f t="shared" si="10"/>
        <v>Peat Wave Dam</v>
      </c>
      <c r="C89" s="25">
        <v>0</v>
      </c>
      <c r="D89" s="33" t="str">
        <f t="shared" si="11"/>
        <v>Composite Dam (Timber)&lt;1m (2 planks)</v>
      </c>
      <c r="E89" s="49">
        <v>70</v>
      </c>
    </row>
    <row r="90" spans="2:5">
      <c r="B90" s="35" t="str">
        <f t="shared" si="10"/>
        <v>Peat Wave Dam/Zippering</v>
      </c>
      <c r="C90" s="26">
        <v>0</v>
      </c>
      <c r="D90" s="32" t="str">
        <f t="shared" si="11"/>
        <v>Composite Dam (Timber)&gt;1m - &lt;2m (3 planks)</v>
      </c>
      <c r="E90" s="48">
        <v>65</v>
      </c>
    </row>
    <row r="91" spans="2:5">
      <c r="B91" s="38" t="str">
        <f t="shared" si="10"/>
        <v>Plastic Piling</v>
      </c>
      <c r="C91" s="25" cm="1">
        <f t="array" ref="C91">Project_Vehicle_Costs[Delivery HGV]</f>
        <v>0.98495999999999995</v>
      </c>
      <c r="D91" s="33" t="str">
        <f t="shared" si="11"/>
        <v>Composite Dam (Timber)&gt;2m - &lt;3m (4 planks)</v>
      </c>
      <c r="E91" s="49">
        <v>36</v>
      </c>
    </row>
    <row r="92" spans="2:5">
      <c r="B92" s="35" t="str">
        <f t="shared" si="10"/>
        <v>Stone Dam</v>
      </c>
      <c r="C92" s="26" cm="1">
        <f t="array" ref="C92">Project_Vehicle_Costs[17t Delivery]</f>
        <v>1.2018599999999999</v>
      </c>
      <c r="D92" s="32" t="str">
        <f t="shared" si="11"/>
        <v>Heather Bale Dam&lt;1m</v>
      </c>
      <c r="E92" s="48">
        <v>425</v>
      </c>
    </row>
    <row r="93" spans="2:5">
      <c r="B93" s="39" t="str">
        <f t="shared" si="10"/>
        <v>Timber Dam</v>
      </c>
      <c r="C93" s="57" cm="1">
        <f t="array" ref="C93">Project_Vehicle_Costs[Delivery HGV]</f>
        <v>0.98495999999999995</v>
      </c>
      <c r="D93" s="33" t="str">
        <f t="shared" si="11"/>
        <v>Heather Bale Dam&gt;1m - &lt;2m</v>
      </c>
      <c r="E93" s="49">
        <v>283</v>
      </c>
    </row>
    <row r="94" spans="2:5">
      <c r="D94" s="32" t="str">
        <f t="shared" si="11"/>
        <v>Heather Bale Dam&gt;2m - &lt;3m</v>
      </c>
      <c r="E94" s="48">
        <v>213</v>
      </c>
    </row>
    <row r="95" spans="2:5">
      <c r="D95" s="33" t="str">
        <f t="shared" si="11"/>
        <v>Heather Bale Dam&gt;3m - &lt;4m</v>
      </c>
      <c r="E95" s="49">
        <v>170</v>
      </c>
    </row>
    <row r="96" spans="2:5">
      <c r="D96" s="32" t="str">
        <f t="shared" si="11"/>
        <v>Heather Bale Dam&gt;4m</v>
      </c>
      <c r="E96" s="48">
        <v>113</v>
      </c>
    </row>
    <row r="97" spans="4:5">
      <c r="D97" s="33" t="str">
        <f t="shared" si="11"/>
        <v>Mineral Dam&lt;1m</v>
      </c>
      <c r="E97" s="49">
        <v>0</v>
      </c>
    </row>
    <row r="98" spans="4:5">
      <c r="D98" s="32" t="str">
        <f t="shared" si="11"/>
        <v>Mineral Dam&gt;1m - &lt;2m</v>
      </c>
      <c r="E98" s="48">
        <v>0</v>
      </c>
    </row>
    <row r="99" spans="4:5">
      <c r="D99" s="33" t="str">
        <f t="shared" si="11"/>
        <v>Mineral Dam&gt;2m - &lt;3m</v>
      </c>
      <c r="E99" s="49">
        <v>0</v>
      </c>
    </row>
    <row r="100" spans="4:5">
      <c r="D100" s="32" t="str">
        <f t="shared" si="11"/>
        <v>Mineral Dam&gt;3m - &lt;4m</v>
      </c>
      <c r="E100" s="48">
        <v>0</v>
      </c>
    </row>
    <row r="101" spans="4:5">
      <c r="D101" s="33" t="str">
        <f t="shared" si="11"/>
        <v>Peat Dam&lt;1m</v>
      </c>
      <c r="E101" s="49">
        <v>0</v>
      </c>
    </row>
    <row r="102" spans="4:5">
      <c r="D102" s="32" t="str">
        <f t="shared" si="11"/>
        <v>Peat Dam&gt;1m - &lt;2m</v>
      </c>
      <c r="E102" s="48">
        <v>0</v>
      </c>
    </row>
    <row r="103" spans="4:5">
      <c r="D103" s="33" t="str">
        <f t="shared" si="11"/>
        <v>Peat Dam&gt;2m - &lt;3m</v>
      </c>
      <c r="E103" s="49">
        <v>0</v>
      </c>
    </row>
    <row r="104" spans="4:5">
      <c r="D104" s="32" t="str">
        <f t="shared" si="11"/>
        <v>Peat Dam&gt;3m - &lt;4m</v>
      </c>
      <c r="E104" s="48">
        <v>0</v>
      </c>
    </row>
    <row r="105" spans="4:5">
      <c r="D105" s="33" t="str">
        <f t="shared" si="11"/>
        <v>Peat Dam&gt;4m</v>
      </c>
      <c r="E105" s="49">
        <v>0</v>
      </c>
    </row>
    <row r="106" spans="4:5">
      <c r="D106" s="32" t="str">
        <f t="shared" si="11"/>
        <v>Peat Wave Dam&lt;1m</v>
      </c>
      <c r="E106" s="48">
        <v>0</v>
      </c>
    </row>
    <row r="107" spans="4:5">
      <c r="D107" s="33" t="str">
        <f t="shared" si="11"/>
        <v>Peat Wave Dam&gt;1m - &lt;2m</v>
      </c>
      <c r="E107" s="49">
        <v>0</v>
      </c>
    </row>
    <row r="108" spans="4:5">
      <c r="D108" s="32" t="str">
        <f t="shared" si="11"/>
        <v>Peat Wave Dam&gt;2m - &lt;3m</v>
      </c>
      <c r="E108" s="48">
        <v>0</v>
      </c>
    </row>
    <row r="109" spans="4:5">
      <c r="D109" s="33" t="str">
        <f t="shared" si="11"/>
        <v>Peat Wave Dam&gt;3m - &lt;4m</v>
      </c>
      <c r="E109" s="49">
        <v>0</v>
      </c>
    </row>
    <row r="110" spans="4:5">
      <c r="D110" s="32" t="str">
        <f t="shared" si="11"/>
        <v>Peat Wave Dam&gt;4m</v>
      </c>
      <c r="E110" s="48">
        <v>0</v>
      </c>
    </row>
    <row r="111" spans="4:5">
      <c r="D111" s="33" t="str">
        <f t="shared" si="11"/>
        <v>Peat Wave Dam/Zippering&lt;1m</v>
      </c>
      <c r="E111" s="49">
        <v>0</v>
      </c>
    </row>
    <row r="112" spans="4:5">
      <c r="D112" s="32" t="str">
        <f t="shared" si="11"/>
        <v>Peat Wave Dam/Zippering&gt;1m - &lt;2m</v>
      </c>
      <c r="E112" s="48">
        <v>0</v>
      </c>
    </row>
    <row r="113" spans="4:15">
      <c r="D113" s="33" t="str">
        <f t="shared" si="11"/>
        <v>Peat Wave Dam/Zippering&gt;2m - &lt;3m</v>
      </c>
      <c r="E113" s="49">
        <v>0</v>
      </c>
      <c r="G113" s="62"/>
      <c r="H113" s="63"/>
      <c r="I113" s="63"/>
      <c r="J113" s="63"/>
      <c r="K113" s="62"/>
      <c r="L113" s="62"/>
      <c r="M113" s="62"/>
      <c r="N113" s="62"/>
      <c r="O113" s="62"/>
    </row>
    <row r="114" spans="4:15">
      <c r="D114" s="32" t="str">
        <f t="shared" si="11"/>
        <v>Peat Wave Dam/Zippering&gt;3m - &lt;4m</v>
      </c>
      <c r="E114" s="48">
        <v>0</v>
      </c>
    </row>
    <row r="115" spans="4:15">
      <c r="D115" s="33" t="str">
        <f t="shared" si="11"/>
        <v>Peat Wave Dam/Zippering&gt;4m</v>
      </c>
      <c r="E115" s="49">
        <v>0</v>
      </c>
    </row>
    <row r="116" spans="4:15">
      <c r="D116" s="32" t="str">
        <f t="shared" si="11"/>
        <v>Plastic Piling&lt;1m</v>
      </c>
      <c r="E116" s="48">
        <f>E117*1.5</f>
        <v>252</v>
      </c>
    </row>
    <row r="117" spans="4:15">
      <c r="D117" s="33" t="str">
        <f t="shared" si="11"/>
        <v>Plastic Piling&gt;1m - &lt;2m</v>
      </c>
      <c r="E117" s="49">
        <v>168</v>
      </c>
    </row>
    <row r="118" spans="4:15">
      <c r="D118" s="32" t="str">
        <f t="shared" si="11"/>
        <v>Plastic Piling&gt;2m - &lt;3m</v>
      </c>
      <c r="E118" s="48">
        <v>101</v>
      </c>
    </row>
    <row r="119" spans="4:15">
      <c r="D119" s="33" t="str">
        <f t="shared" si="11"/>
        <v>Plastic Piling&gt;3m - &lt;4m</v>
      </c>
      <c r="E119" s="49">
        <v>72</v>
      </c>
    </row>
    <row r="120" spans="4:15">
      <c r="D120" s="32" t="str">
        <f t="shared" si="11"/>
        <v>Plastic Piling&gt;4m</v>
      </c>
      <c r="E120" s="48">
        <v>63</v>
      </c>
    </row>
    <row r="121" spans="4:15">
      <c r="D121" s="33" t="str">
        <f t="shared" si="11"/>
        <v>Stone Dam&lt;1m (1 unit)</v>
      </c>
      <c r="E121" s="49">
        <v>22</v>
      </c>
    </row>
    <row r="122" spans="4:15">
      <c r="D122" s="32" t="str">
        <f t="shared" si="11"/>
        <v>Stone Dam&gt;1m - &lt;2m (2 units)</v>
      </c>
      <c r="E122" s="48">
        <v>14</v>
      </c>
    </row>
    <row r="123" spans="4:15">
      <c r="D123" s="33" t="str">
        <f t="shared" si="11"/>
        <v>Stone Dam&gt;2m - &lt;3m (3 units)</v>
      </c>
      <c r="E123" s="49">
        <v>10</v>
      </c>
    </row>
    <row r="124" spans="4:15">
      <c r="D124" s="32" t="str">
        <f t="shared" si="11"/>
        <v>Stone Dam&gt;3m - &lt;4m (4 units)</v>
      </c>
      <c r="E124" s="48">
        <v>7</v>
      </c>
    </row>
    <row r="125" spans="4:15">
      <c r="D125" s="33" t="str">
        <f t="shared" si="11"/>
        <v>Timber Dam&lt;1m (2 planks)</v>
      </c>
      <c r="E125" s="49">
        <v>70</v>
      </c>
    </row>
    <row r="126" spans="4:15">
      <c r="D126" s="32" t="str">
        <f t="shared" si="11"/>
        <v>Timber Dam&gt;1m - &lt;2m (3 planks)</v>
      </c>
      <c r="E126" s="48">
        <v>65</v>
      </c>
    </row>
    <row r="127" spans="4:15">
      <c r="D127" s="54" t="str">
        <f t="shared" si="11"/>
        <v>Timber Dam&gt;2m - &lt;3m (4 planks)</v>
      </c>
      <c r="E127" s="71">
        <v>36</v>
      </c>
    </row>
    <row r="133" spans="2:11">
      <c r="B133" s="1" t="s">
        <v>308</v>
      </c>
    </row>
    <row r="134" spans="2:11">
      <c r="B134" s="12" t="s">
        <v>289</v>
      </c>
      <c r="C134" s="20" t="s">
        <v>290</v>
      </c>
      <c r="D134" s="20" t="s">
        <v>220</v>
      </c>
      <c r="E134" s="20" t="s">
        <v>291</v>
      </c>
      <c r="F134" s="20" t="s">
        <v>292</v>
      </c>
      <c r="G134" s="20" t="s">
        <v>293</v>
      </c>
      <c r="H134" s="20" t="s">
        <v>294</v>
      </c>
      <c r="I134" s="20" t="s">
        <v>229</v>
      </c>
      <c r="J134" s="20" t="s">
        <v>130</v>
      </c>
      <c r="K134" s="13" t="s">
        <v>240</v>
      </c>
    </row>
    <row r="135" spans="2:11">
      <c r="B135" s="35" t="s">
        <v>309</v>
      </c>
      <c r="C135" s="35" t="s">
        <v>309</v>
      </c>
      <c r="D135" s="35" t="s">
        <v>309</v>
      </c>
      <c r="E135" s="40" t="s">
        <v>309</v>
      </c>
      <c r="F135" s="40" t="s">
        <v>309</v>
      </c>
      <c r="G135" s="40" t="s">
        <v>309</v>
      </c>
      <c r="H135" s="35" t="s">
        <v>309</v>
      </c>
      <c r="I135" s="35" t="s">
        <v>309</v>
      </c>
      <c r="J135" s="40" t="s">
        <v>132</v>
      </c>
      <c r="K135" s="32" t="s">
        <v>309</v>
      </c>
    </row>
    <row r="136" spans="2:11">
      <c r="B136" s="38" t="s">
        <v>132</v>
      </c>
      <c r="C136" s="38" t="s">
        <v>132</v>
      </c>
      <c r="D136" s="38" t="s">
        <v>132</v>
      </c>
      <c r="E136" s="29" t="s">
        <v>310</v>
      </c>
      <c r="F136" s="29" t="s">
        <v>310</v>
      </c>
      <c r="G136" s="29" t="s">
        <v>310</v>
      </c>
      <c r="H136" s="38" t="s">
        <v>310</v>
      </c>
      <c r="I136" s="38" t="s">
        <v>132</v>
      </c>
      <c r="J136" s="29" t="s">
        <v>311</v>
      </c>
      <c r="K136" s="33" t="s">
        <v>132</v>
      </c>
    </row>
    <row r="137" spans="2:11">
      <c r="B137" s="28" t="s">
        <v>310</v>
      </c>
      <c r="C137" s="28" t="s">
        <v>310</v>
      </c>
      <c r="D137" s="28" t="s">
        <v>310</v>
      </c>
      <c r="E137" s="7"/>
      <c r="F137" s="7"/>
      <c r="G137" s="7"/>
      <c r="H137" s="28"/>
      <c r="I137" s="28" t="s">
        <v>310</v>
      </c>
      <c r="J137" s="7"/>
      <c r="K137" s="41" t="s">
        <v>310</v>
      </c>
    </row>
    <row r="143" spans="2:11">
      <c r="B143" s="1" t="s">
        <v>312</v>
      </c>
    </row>
    <row r="144" spans="2:11">
      <c r="B144" s="5" t="s">
        <v>288</v>
      </c>
      <c r="C144" s="5" t="s">
        <v>116</v>
      </c>
      <c r="D144" s="5" t="s">
        <v>313</v>
      </c>
      <c r="E144" s="5" t="s">
        <v>118</v>
      </c>
      <c r="F144" s="6" t="s">
        <v>305</v>
      </c>
    </row>
    <row r="145" spans="2:6">
      <c r="B145" s="4" t="str">
        <f>$B$4</f>
        <v>Composite Dam (Plastic)</v>
      </c>
      <c r="C145" s="4" t="str">
        <f>$B$21</f>
        <v>&lt;1m</v>
      </c>
      <c r="D145" s="4" t="str">
        <f>B135</f>
        <v>Hand</v>
      </c>
      <c r="E145" s="4" t="str">
        <f>GullyGrip_Blocking_Installation_Costs[[#This Row],[Intervention Type]]&amp;GullyGrip_Blocking_Installation_Costs[[#This Row],[Dimensions]]&amp;GullyGrip_Blocking_Installation_Costs[[#This Row],[Installation ]]</f>
        <v>Composite Dam (Plastic)&lt;1mHand</v>
      </c>
      <c r="F145" s="65">
        <v>0</v>
      </c>
    </row>
    <row r="146" spans="2:6">
      <c r="B146" s="4" t="str">
        <f t="shared" ref="B146:B159" si="12">$B$4</f>
        <v>Composite Dam (Plastic)</v>
      </c>
      <c r="C146" s="4" t="str">
        <f t="shared" ref="C146:C147" si="13">$B$21</f>
        <v>&lt;1m</v>
      </c>
      <c r="D146" s="4" t="str">
        <f t="shared" ref="D146:D147" si="14">B136</f>
        <v>Helicopter - Assisted</v>
      </c>
      <c r="E146" s="4" t="str">
        <f>GullyGrip_Blocking_Installation_Costs[[#This Row],[Intervention Type]]&amp;GullyGrip_Blocking_Installation_Costs[[#This Row],[Dimensions]]&amp;GullyGrip_Blocking_Installation_Costs[[#This Row],[Installation ]]</f>
        <v>Composite Dam (Plastic)&lt;1mHelicopter - Assisted</v>
      </c>
      <c r="F146" s="65">
        <f>F225+(F226/2)</f>
        <v>1.0030415544000002</v>
      </c>
    </row>
    <row r="147" spans="2:6">
      <c r="B147" s="4" t="str">
        <f t="shared" si="12"/>
        <v>Composite Dam (Plastic)</v>
      </c>
      <c r="C147" s="4" t="str">
        <f t="shared" si="13"/>
        <v>&lt;1m</v>
      </c>
      <c r="D147" s="4" t="str">
        <f t="shared" si="14"/>
        <v>Machine</v>
      </c>
      <c r="E147" s="4" t="str">
        <f>GullyGrip_Blocking_Installation_Costs[[#This Row],[Intervention Type]]&amp;GullyGrip_Blocking_Installation_Costs[[#This Row],[Dimensions]]&amp;GullyGrip_Blocking_Installation_Costs[[#This Row],[Installation ]]</f>
        <v>Composite Dam (Plastic)&lt;1mMachine</v>
      </c>
      <c r="F147" s="65">
        <f>1.25*F226</f>
        <v>0.53837508600000006</v>
      </c>
    </row>
    <row r="148" spans="2:6">
      <c r="B148" s="4" t="str">
        <f>$B$4</f>
        <v>Composite Dam (Plastic)</v>
      </c>
      <c r="C148" s="4" t="str">
        <f>$B$22</f>
        <v>&gt;1m - &lt;2m</v>
      </c>
      <c r="D148" s="4" t="str">
        <f>B135</f>
        <v>Hand</v>
      </c>
      <c r="E148" s="4" t="str">
        <f>GullyGrip_Blocking_Installation_Costs[[#This Row],[Intervention Type]]&amp;GullyGrip_Blocking_Installation_Costs[[#This Row],[Dimensions]]&amp;GullyGrip_Blocking_Installation_Costs[[#This Row],[Installation ]]</f>
        <v>Composite Dam (Plastic)&gt;1m - &lt;2mHand</v>
      </c>
      <c r="F148" s="65">
        <v>0</v>
      </c>
    </row>
    <row r="149" spans="2:6">
      <c r="B149" s="4" t="str">
        <f t="shared" si="12"/>
        <v>Composite Dam (Plastic)</v>
      </c>
      <c r="C149" s="4" t="str">
        <f t="shared" ref="C149:C150" si="15">$B$22</f>
        <v>&gt;1m - &lt;2m</v>
      </c>
      <c r="D149" s="4" t="str">
        <f t="shared" ref="D149:D150" si="16">B136</f>
        <v>Helicopter - Assisted</v>
      </c>
      <c r="E149" s="4" t="str">
        <f>GullyGrip_Blocking_Installation_Costs[[#This Row],[Intervention Type]]&amp;GullyGrip_Blocking_Installation_Costs[[#This Row],[Dimensions]]&amp;GullyGrip_Blocking_Installation_Costs[[#This Row],[Installation ]]</f>
        <v>Composite Dam (Plastic)&gt;1m - &lt;2mHelicopter - Assisted</v>
      </c>
      <c r="F149" s="65">
        <f>F228+(F229/2)</f>
        <v>1.5082835400000003</v>
      </c>
    </row>
    <row r="150" spans="2:6">
      <c r="B150" s="4" t="str">
        <f t="shared" si="12"/>
        <v>Composite Dam (Plastic)</v>
      </c>
      <c r="C150" s="4" t="str">
        <f t="shared" si="15"/>
        <v>&gt;1m - &lt;2m</v>
      </c>
      <c r="D150" s="4" t="str">
        <f t="shared" si="16"/>
        <v>Machine</v>
      </c>
      <c r="E150" s="4" t="str">
        <f>GullyGrip_Blocking_Installation_Costs[[#This Row],[Intervention Type]]&amp;GullyGrip_Blocking_Installation_Costs[[#This Row],[Dimensions]]&amp;GullyGrip_Blocking_Installation_Costs[[#This Row],[Installation ]]</f>
        <v>Composite Dam (Plastic)&gt;1m - &lt;2mMachine</v>
      </c>
      <c r="F150" s="65">
        <f>1.25*F229</f>
        <v>0.78702885</v>
      </c>
    </row>
    <row r="151" spans="2:6">
      <c r="B151" s="4" t="str">
        <f>$B$4</f>
        <v>Composite Dam (Plastic)</v>
      </c>
      <c r="C151" s="4" t="str">
        <f>$B$23</f>
        <v>&gt;2m - &lt;3m</v>
      </c>
      <c r="D151" s="4" t="str">
        <f>B135</f>
        <v>Hand</v>
      </c>
      <c r="E151" s="4" t="str">
        <f>GullyGrip_Blocking_Installation_Costs[[#This Row],[Intervention Type]]&amp;GullyGrip_Blocking_Installation_Costs[[#This Row],[Dimensions]]&amp;GullyGrip_Blocking_Installation_Costs[[#This Row],[Installation ]]</f>
        <v>Composite Dam (Plastic)&gt;2m - &lt;3mHand</v>
      </c>
      <c r="F151" s="65">
        <v>0</v>
      </c>
    </row>
    <row r="152" spans="2:6">
      <c r="B152" s="4" t="str">
        <f t="shared" si="12"/>
        <v>Composite Dam (Plastic)</v>
      </c>
      <c r="C152" s="4" t="str">
        <f t="shared" ref="C152:C153" si="17">$B$23</f>
        <v>&gt;2m - &lt;3m</v>
      </c>
      <c r="D152" s="4" t="str">
        <f t="shared" ref="D152:D153" si="18">B136</f>
        <v>Helicopter - Assisted</v>
      </c>
      <c r="E152" s="4" t="str">
        <f>GullyGrip_Blocking_Installation_Costs[[#This Row],[Intervention Type]]&amp;GullyGrip_Blocking_Installation_Costs[[#This Row],[Dimensions]]&amp;GullyGrip_Blocking_Installation_Costs[[#This Row],[Installation ]]</f>
        <v>Composite Dam (Plastic)&gt;2m - &lt;3mHelicopter - Assisted</v>
      </c>
      <c r="F152" s="65">
        <f>F231+(F232/2)</f>
        <v>2.4909976200000004</v>
      </c>
    </row>
    <row r="153" spans="2:6">
      <c r="B153" s="4" t="str">
        <f t="shared" si="12"/>
        <v>Composite Dam (Plastic)</v>
      </c>
      <c r="C153" s="4" t="str">
        <f t="shared" si="17"/>
        <v>&gt;2m - &lt;3m</v>
      </c>
      <c r="D153" s="4" t="str">
        <f t="shared" si="18"/>
        <v>Machine</v>
      </c>
      <c r="E153" s="4" t="str">
        <f>GullyGrip_Blocking_Installation_Costs[[#This Row],[Intervention Type]]&amp;GullyGrip_Blocking_Installation_Costs[[#This Row],[Dimensions]]&amp;GullyGrip_Blocking_Installation_Costs[[#This Row],[Installation ]]</f>
        <v>Composite Dam (Plastic)&gt;2m - &lt;3mMachine</v>
      </c>
      <c r="F153" s="65">
        <f>1.25*F232</f>
        <v>1.2745852500000001</v>
      </c>
    </row>
    <row r="154" spans="2:6">
      <c r="B154" s="4" t="str">
        <f>$B$4</f>
        <v>Composite Dam (Plastic)</v>
      </c>
      <c r="C154" s="4" t="str">
        <f>$B$24</f>
        <v>&gt;3m - &lt;4m</v>
      </c>
      <c r="D154" s="4" t="str">
        <f>B135</f>
        <v>Hand</v>
      </c>
      <c r="E154" s="4" t="str">
        <f>GullyGrip_Blocking_Installation_Costs[[#This Row],[Intervention Type]]&amp;GullyGrip_Blocking_Installation_Costs[[#This Row],[Dimensions]]&amp;GullyGrip_Blocking_Installation_Costs[[#This Row],[Installation ]]</f>
        <v>Composite Dam (Plastic)&gt;3m - &lt;4mHand</v>
      </c>
      <c r="F154" s="65">
        <v>0</v>
      </c>
    </row>
    <row r="155" spans="2:6">
      <c r="B155" s="4" t="str">
        <f t="shared" si="12"/>
        <v>Composite Dam (Plastic)</v>
      </c>
      <c r="C155" s="4" t="str">
        <f t="shared" ref="C155:C156" si="19">$B$24</f>
        <v>&gt;3m - &lt;4m</v>
      </c>
      <c r="D155" s="4" t="str">
        <f t="shared" ref="D155:D156" si="20">B136</f>
        <v>Helicopter - Assisted</v>
      </c>
      <c r="E155" s="4" t="str">
        <f>GullyGrip_Blocking_Installation_Costs[[#This Row],[Intervention Type]]&amp;GullyGrip_Blocking_Installation_Costs[[#This Row],[Dimensions]]&amp;GullyGrip_Blocking_Installation_Costs[[#This Row],[Installation ]]</f>
        <v>Composite Dam (Plastic)&gt;3m - &lt;4mHelicopter - Assisted</v>
      </c>
      <c r="F155" s="65">
        <f>F234+(F235/2)</f>
        <v>3.4856464200000006</v>
      </c>
    </row>
    <row r="156" spans="2:6">
      <c r="B156" s="4" t="str">
        <f t="shared" si="12"/>
        <v>Composite Dam (Plastic)</v>
      </c>
      <c r="C156" s="4" t="str">
        <f t="shared" si="19"/>
        <v>&gt;3m - &lt;4m</v>
      </c>
      <c r="D156" s="4" t="str">
        <f t="shared" si="20"/>
        <v>Machine</v>
      </c>
      <c r="E156" s="4" t="str">
        <f>GullyGrip_Blocking_Installation_Costs[[#This Row],[Intervention Type]]&amp;GullyGrip_Blocking_Installation_Costs[[#This Row],[Dimensions]]&amp;GullyGrip_Blocking_Installation_Costs[[#This Row],[Installation ]]</f>
        <v>Composite Dam (Plastic)&gt;3m - &lt;4mMachine</v>
      </c>
      <c r="F156" s="65">
        <f>1.25*F235</f>
        <v>1.7621416499999998</v>
      </c>
    </row>
    <row r="157" spans="2:6">
      <c r="B157" s="4" t="str">
        <f>$B$4</f>
        <v>Composite Dam (Plastic)</v>
      </c>
      <c r="C157" s="4" t="str">
        <f>$B$25</f>
        <v>&gt;4m</v>
      </c>
      <c r="D157" s="4" t="str">
        <f>B135</f>
        <v>Hand</v>
      </c>
      <c r="E157" s="4" t="str">
        <f>GullyGrip_Blocking_Installation_Costs[[#This Row],[Intervention Type]]&amp;GullyGrip_Blocking_Installation_Costs[[#This Row],[Dimensions]]&amp;GullyGrip_Blocking_Installation_Costs[[#This Row],[Installation ]]</f>
        <v>Composite Dam (Plastic)&gt;4mHand</v>
      </c>
      <c r="F157" s="65">
        <v>0</v>
      </c>
    </row>
    <row r="158" spans="2:6">
      <c r="B158" s="4" t="str">
        <f t="shared" si="12"/>
        <v>Composite Dam (Plastic)</v>
      </c>
      <c r="C158" s="4" t="str">
        <f t="shared" ref="C158:C159" si="21">$B$25</f>
        <v>&gt;4m</v>
      </c>
      <c r="D158" s="4" t="str">
        <f t="shared" ref="D158" si="22">B136</f>
        <v>Helicopter - Assisted</v>
      </c>
      <c r="E158" s="4" t="str">
        <f>GullyGrip_Blocking_Installation_Costs[[#This Row],[Intervention Type]]&amp;GullyGrip_Blocking_Installation_Costs[[#This Row],[Dimensions]]&amp;GullyGrip_Blocking_Installation_Costs[[#This Row],[Installation ]]</f>
        <v>Composite Dam (Plastic)&gt;4mHelicopter - Assisted</v>
      </c>
      <c r="F158" s="65">
        <f>F237+(F238/2)</f>
        <v>3.9770034600000006</v>
      </c>
    </row>
    <row r="159" spans="2:6">
      <c r="B159" s="4" t="str">
        <f t="shared" si="12"/>
        <v>Composite Dam (Plastic)</v>
      </c>
      <c r="C159" s="4" t="str">
        <f t="shared" si="21"/>
        <v>&gt;4m</v>
      </c>
      <c r="D159" s="4" t="str">
        <f>B137</f>
        <v>Machine</v>
      </c>
      <c r="E159" s="4" t="str">
        <f>GullyGrip_Blocking_Installation_Costs[[#This Row],[Intervention Type]]&amp;GullyGrip_Blocking_Installation_Costs[[#This Row],[Dimensions]]&amp;GullyGrip_Blocking_Installation_Costs[[#This Row],[Installation ]]</f>
        <v>Composite Dam (Plastic)&gt;4mMachine</v>
      </c>
      <c r="F159" s="65">
        <f>1.25*F238</f>
        <v>2.0059198499999997</v>
      </c>
    </row>
    <row r="160" spans="2:6">
      <c r="B160" s="4" t="str">
        <f>$B$5</f>
        <v>Composite Dam (Timber)</v>
      </c>
      <c r="C160" s="4" t="str">
        <f>$C$21</f>
        <v>&lt;1m (2 planks)</v>
      </c>
      <c r="D160" s="4" t="str">
        <f>C135</f>
        <v>Hand</v>
      </c>
      <c r="E160" s="4" t="str">
        <f>GullyGrip_Blocking_Installation_Costs[[#This Row],[Intervention Type]]&amp;GullyGrip_Blocking_Installation_Costs[[#This Row],[Dimensions]]&amp;GullyGrip_Blocking_Installation_Costs[[#This Row],[Installation ]]</f>
        <v>Composite Dam (Timber)&lt;1m (2 planks)Hand</v>
      </c>
      <c r="F160" s="66">
        <v>0</v>
      </c>
    </row>
    <row r="161" spans="2:6">
      <c r="B161" s="4" t="str">
        <f t="shared" ref="B161:B168" si="23">$B$5</f>
        <v>Composite Dam (Timber)</v>
      </c>
      <c r="C161" s="4" t="str">
        <f t="shared" ref="C161:C162" si="24">$C$21</f>
        <v>&lt;1m (2 planks)</v>
      </c>
      <c r="D161" s="4" t="str">
        <f t="shared" ref="D161:D162" si="25">C136</f>
        <v>Helicopter - Assisted</v>
      </c>
      <c r="E161" s="4" t="str">
        <f>GullyGrip_Blocking_Installation_Costs[[#This Row],[Intervention Type]]&amp;GullyGrip_Blocking_Installation_Costs[[#This Row],[Dimensions]]&amp;GullyGrip_Blocking_Installation_Costs[[#This Row],[Installation ]]</f>
        <v>Composite Dam (Timber)&lt;1m (2 planks)Helicopter - Assisted</v>
      </c>
      <c r="F161" s="66">
        <f>F248+(F249/2)</f>
        <v>6.3557119853850015</v>
      </c>
    </row>
    <row r="162" spans="2:6">
      <c r="B162" s="4" t="str">
        <f t="shared" si="23"/>
        <v>Composite Dam (Timber)</v>
      </c>
      <c r="C162" s="4" t="str">
        <f t="shared" si="24"/>
        <v>&lt;1m (2 planks)</v>
      </c>
      <c r="D162" s="4" t="str">
        <f t="shared" si="25"/>
        <v>Machine</v>
      </c>
      <c r="E162" s="4" t="str">
        <f>GullyGrip_Blocking_Installation_Costs[[#This Row],[Intervention Type]]&amp;GullyGrip_Blocking_Installation_Costs[[#This Row],[Dimensions]]&amp;GullyGrip_Blocking_Installation_Costs[[#This Row],[Installation ]]</f>
        <v>Composite Dam (Timber)&lt;1m (2 planks)Machine</v>
      </c>
      <c r="F162" s="66">
        <f>1.25*F249</f>
        <v>0.97087996346249983</v>
      </c>
    </row>
    <row r="163" spans="2:6">
      <c r="B163" s="4" t="str">
        <f>$B$5</f>
        <v>Composite Dam (Timber)</v>
      </c>
      <c r="C163" s="4" t="str">
        <f>$C$22</f>
        <v>&gt;1m - &lt;2m (3 planks)</v>
      </c>
      <c r="D163" s="4" t="str">
        <f>C135</f>
        <v>Hand</v>
      </c>
      <c r="E163" s="4" t="str">
        <f>GullyGrip_Blocking_Installation_Costs[[#This Row],[Intervention Type]]&amp;GullyGrip_Blocking_Installation_Costs[[#This Row],[Dimensions]]&amp;GullyGrip_Blocking_Installation_Costs[[#This Row],[Installation ]]</f>
        <v>Composite Dam (Timber)&gt;1m - &lt;2m (3 planks)Hand</v>
      </c>
      <c r="F163" s="66">
        <v>0</v>
      </c>
    </row>
    <row r="164" spans="2:6">
      <c r="B164" s="4" t="str">
        <f t="shared" si="23"/>
        <v>Composite Dam (Timber)</v>
      </c>
      <c r="C164" s="4" t="str">
        <f t="shared" ref="C164:C165" si="26">$C$22</f>
        <v>&gt;1m - &lt;2m (3 planks)</v>
      </c>
      <c r="D164" s="4" t="str">
        <f t="shared" ref="D164:D165" si="27">C136</f>
        <v>Helicopter - Assisted</v>
      </c>
      <c r="E164" s="4" t="str">
        <f>GullyGrip_Blocking_Installation_Costs[[#This Row],[Intervention Type]]&amp;GullyGrip_Blocking_Installation_Costs[[#This Row],[Dimensions]]&amp;GullyGrip_Blocking_Installation_Costs[[#This Row],[Installation ]]</f>
        <v>Composite Dam (Timber)&gt;1m - &lt;2m (3 planks)Helicopter - Assisted</v>
      </c>
      <c r="F164" s="66">
        <f>F251+(F252/2)</f>
        <v>7.9571644810005004</v>
      </c>
    </row>
    <row r="165" spans="2:6">
      <c r="B165" s="4" t="str">
        <f t="shared" si="23"/>
        <v>Composite Dam (Timber)</v>
      </c>
      <c r="C165" s="4" t="str">
        <f t="shared" si="26"/>
        <v>&gt;1m - &lt;2m (3 planks)</v>
      </c>
      <c r="D165" s="4" t="str">
        <f t="shared" si="27"/>
        <v>Machine</v>
      </c>
      <c r="E165" s="4" t="str">
        <f>GullyGrip_Blocking_Installation_Costs[[#This Row],[Intervention Type]]&amp;GullyGrip_Blocking_Installation_Costs[[#This Row],[Dimensions]]&amp;GullyGrip_Blocking_Installation_Costs[[#This Row],[Installation ]]</f>
        <v>Composite Dam (Timber)&gt;1m - &lt;2m (3 planks)Machine</v>
      </c>
      <c r="F165" s="66">
        <f>1.25*F252</f>
        <v>1.2449112025012499</v>
      </c>
    </row>
    <row r="166" spans="2:6">
      <c r="B166" s="4" t="str">
        <f>$B$5</f>
        <v>Composite Dam (Timber)</v>
      </c>
      <c r="C166" s="4" t="str">
        <f>$C$23</f>
        <v>&gt;2m - &lt;3m (4 planks)</v>
      </c>
      <c r="D166" s="4" t="str">
        <f>C135</f>
        <v>Hand</v>
      </c>
      <c r="E166" s="4" t="str">
        <f>GullyGrip_Blocking_Installation_Costs[[#This Row],[Intervention Type]]&amp;GullyGrip_Blocking_Installation_Costs[[#This Row],[Dimensions]]&amp;GullyGrip_Blocking_Installation_Costs[[#This Row],[Installation ]]</f>
        <v>Composite Dam (Timber)&gt;2m - &lt;3m (4 planks)Hand</v>
      </c>
      <c r="F166" s="66">
        <v>0</v>
      </c>
    </row>
    <row r="167" spans="2:6">
      <c r="B167" s="4" t="str">
        <f t="shared" si="23"/>
        <v>Composite Dam (Timber)</v>
      </c>
      <c r="C167" s="4" t="str">
        <f t="shared" ref="C167:C168" si="28">$C$23</f>
        <v>&gt;2m - &lt;3m (4 planks)</v>
      </c>
      <c r="D167" s="4" t="str">
        <f t="shared" ref="D167:D168" si="29">C136</f>
        <v>Helicopter - Assisted</v>
      </c>
      <c r="E167" s="4" t="str">
        <f>GullyGrip_Blocking_Installation_Costs[[#This Row],[Intervention Type]]&amp;GullyGrip_Blocking_Installation_Costs[[#This Row],[Dimensions]]&amp;GullyGrip_Blocking_Installation_Costs[[#This Row],[Installation ]]</f>
        <v>Composite Dam (Timber)&gt;2m - &lt;3m (4 planks)Helicopter - Assisted</v>
      </c>
      <c r="F167" s="66">
        <f>F254+(F255/2)</f>
        <v>9.558616976616003</v>
      </c>
    </row>
    <row r="168" spans="2:6">
      <c r="B168" s="4" t="str">
        <f t="shared" si="23"/>
        <v>Composite Dam (Timber)</v>
      </c>
      <c r="C168" s="4" t="str">
        <f t="shared" si="28"/>
        <v>&gt;2m - &lt;3m (4 planks)</v>
      </c>
      <c r="D168" s="4" t="str">
        <f t="shared" si="29"/>
        <v>Machine</v>
      </c>
      <c r="E168" s="4" t="str">
        <f>GullyGrip_Blocking_Installation_Costs[[#This Row],[Intervention Type]]&amp;GullyGrip_Blocking_Installation_Costs[[#This Row],[Dimensions]]&amp;GullyGrip_Blocking_Installation_Costs[[#This Row],[Installation ]]</f>
        <v>Composite Dam (Timber)&gt;2m - &lt;3m (4 planks)Machine</v>
      </c>
      <c r="F168" s="66">
        <f>1.25*F255</f>
        <v>1.5189424415399999</v>
      </c>
    </row>
    <row r="169" spans="2:6">
      <c r="B169" s="4" t="str">
        <f>$B$6</f>
        <v>Heather Bale Dam</v>
      </c>
      <c r="C169" s="4" t="str">
        <f>$D$21</f>
        <v>&lt;1m</v>
      </c>
      <c r="D169" s="4" t="str">
        <f>D135</f>
        <v>Hand</v>
      </c>
      <c r="E169" s="4" t="str">
        <f>GullyGrip_Blocking_Installation_Costs[[#This Row],[Intervention Type]]&amp;GullyGrip_Blocking_Installation_Costs[[#This Row],[Dimensions]]&amp;GullyGrip_Blocking_Installation_Costs[[#This Row],[Installation ]]</f>
        <v>Heather Bale Dam&lt;1mHand</v>
      </c>
      <c r="F169" s="66">
        <v>0</v>
      </c>
    </row>
    <row r="170" spans="2:6">
      <c r="B170" s="4" t="str">
        <f t="shared" ref="B170:B183" si="30">$B$6</f>
        <v>Heather Bale Dam</v>
      </c>
      <c r="C170" s="4" t="str">
        <f t="shared" ref="C170:C171" si="31">$D$21</f>
        <v>&lt;1m</v>
      </c>
      <c r="D170" s="4" t="str">
        <f t="shared" ref="D170:D171" si="32">D136</f>
        <v>Helicopter - Assisted</v>
      </c>
      <c r="E170" s="4" t="str">
        <f>GullyGrip_Blocking_Installation_Costs[[#This Row],[Intervention Type]]&amp;GullyGrip_Blocking_Installation_Costs[[#This Row],[Dimensions]]&amp;GullyGrip_Blocking_Installation_Costs[[#This Row],[Installation ]]</f>
        <v>Heather Bale Dam&lt;1mHelicopter - Assisted</v>
      </c>
      <c r="F170" s="66">
        <v>6.6779038116000011</v>
      </c>
    </row>
    <row r="171" spans="2:6">
      <c r="B171" s="4" t="str">
        <f t="shared" si="30"/>
        <v>Heather Bale Dam</v>
      </c>
      <c r="C171" s="4" t="str">
        <f t="shared" si="31"/>
        <v>&lt;1m</v>
      </c>
      <c r="D171" s="4" t="str">
        <f t="shared" si="32"/>
        <v>Machine</v>
      </c>
      <c r="E171" s="4" t="str">
        <f>GullyGrip_Blocking_Installation_Costs[[#This Row],[Intervention Type]]&amp;GullyGrip_Blocking_Installation_Costs[[#This Row],[Dimensions]]&amp;GullyGrip_Blocking_Installation_Costs[[#This Row],[Installation ]]</f>
        <v>Heather Bale Dam&lt;1mMachine</v>
      </c>
      <c r="F171" s="66">
        <v>0.90560488593599997</v>
      </c>
    </row>
    <row r="172" spans="2:6">
      <c r="B172" s="4" t="str">
        <f>$B$6</f>
        <v>Heather Bale Dam</v>
      </c>
      <c r="C172" s="4" t="str">
        <f>$D$22</f>
        <v>&gt;1m - &lt;2m</v>
      </c>
      <c r="D172" s="4" t="str">
        <f>D135</f>
        <v>Hand</v>
      </c>
      <c r="E172" s="4" t="str">
        <f>GullyGrip_Blocking_Installation_Costs[[#This Row],[Intervention Type]]&amp;GullyGrip_Blocking_Installation_Costs[[#This Row],[Dimensions]]&amp;GullyGrip_Blocking_Installation_Costs[[#This Row],[Installation ]]</f>
        <v>Heather Bale Dam&gt;1m - &lt;2mHand</v>
      </c>
      <c r="F172" s="66">
        <v>0</v>
      </c>
    </row>
    <row r="173" spans="2:6">
      <c r="B173" s="4" t="str">
        <f t="shared" si="30"/>
        <v>Heather Bale Dam</v>
      </c>
      <c r="C173" s="4" t="str">
        <f t="shared" ref="C173:C174" si="33">$D$22</f>
        <v>&gt;1m - &lt;2m</v>
      </c>
      <c r="D173" s="4" t="str">
        <f t="shared" ref="D173:D174" si="34">D136</f>
        <v>Helicopter - Assisted</v>
      </c>
      <c r="E173" s="4" t="str">
        <f>GullyGrip_Blocking_Installation_Costs[[#This Row],[Intervention Type]]&amp;GullyGrip_Blocking_Installation_Costs[[#This Row],[Dimensions]]&amp;GullyGrip_Blocking_Installation_Costs[[#This Row],[Installation ]]</f>
        <v>Heather Bale Dam&gt;1m - &lt;2mHelicopter - Assisted</v>
      </c>
      <c r="F173" s="66">
        <v>7.9487100000000002</v>
      </c>
    </row>
    <row r="174" spans="2:6">
      <c r="B174" s="4" t="str">
        <f t="shared" si="30"/>
        <v>Heather Bale Dam</v>
      </c>
      <c r="C174" s="4" t="str">
        <f t="shared" si="33"/>
        <v>&gt;1m - &lt;2m</v>
      </c>
      <c r="D174" s="4" t="str">
        <f t="shared" si="34"/>
        <v>Machine</v>
      </c>
      <c r="E174" s="4" t="str">
        <f>GullyGrip_Blocking_Installation_Costs[[#This Row],[Intervention Type]]&amp;GullyGrip_Blocking_Installation_Costs[[#This Row],[Dimensions]]&amp;GullyGrip_Blocking_Installation_Costs[[#This Row],[Installation ]]</f>
        <v>Heather Bale Dam&gt;1m - &lt;2mMachine</v>
      </c>
      <c r="F174" s="66">
        <v>1.1197005120000001</v>
      </c>
    </row>
    <row r="175" spans="2:6">
      <c r="B175" s="4" t="str">
        <f>$B$6</f>
        <v>Heather Bale Dam</v>
      </c>
      <c r="C175" s="4" t="str">
        <f>$D$23</f>
        <v>&gt;2m - &lt;3m</v>
      </c>
      <c r="D175" s="4" t="str">
        <f>D135</f>
        <v>Hand</v>
      </c>
      <c r="E175" s="4" t="str">
        <f>GullyGrip_Blocking_Installation_Costs[[#This Row],[Intervention Type]]&amp;GullyGrip_Blocking_Installation_Costs[[#This Row],[Dimensions]]&amp;GullyGrip_Blocking_Installation_Costs[[#This Row],[Installation ]]</f>
        <v>Heather Bale Dam&gt;2m - &lt;3mHand</v>
      </c>
      <c r="F175" s="66">
        <v>0</v>
      </c>
    </row>
    <row r="176" spans="2:6">
      <c r="B176" s="4" t="str">
        <f t="shared" si="30"/>
        <v>Heather Bale Dam</v>
      </c>
      <c r="C176" s="4" t="str">
        <f t="shared" ref="C176:C177" si="35">$D$23</f>
        <v>&gt;2m - &lt;3m</v>
      </c>
      <c r="D176" s="4" t="str">
        <f t="shared" ref="D176:D177" si="36">D136</f>
        <v>Helicopter - Assisted</v>
      </c>
      <c r="E176" s="4" t="str">
        <f>GullyGrip_Blocking_Installation_Costs[[#This Row],[Intervention Type]]&amp;GullyGrip_Blocking_Installation_Costs[[#This Row],[Dimensions]]&amp;GullyGrip_Blocking_Installation_Costs[[#This Row],[Installation ]]</f>
        <v>Heather Bale Dam&gt;2m - &lt;3mHelicopter - Assisted</v>
      </c>
      <c r="F176" s="66">
        <v>10.596726</v>
      </c>
    </row>
    <row r="177" spans="2:6">
      <c r="B177" s="4" t="str">
        <f t="shared" si="30"/>
        <v>Heather Bale Dam</v>
      </c>
      <c r="C177" s="4" t="str">
        <f t="shared" si="35"/>
        <v>&gt;2m - &lt;3m</v>
      </c>
      <c r="D177" s="4" t="str">
        <f t="shared" si="36"/>
        <v>Machine</v>
      </c>
      <c r="E177" s="4" t="str">
        <f>GullyGrip_Blocking_Installation_Costs[[#This Row],[Intervention Type]]&amp;GullyGrip_Blocking_Installation_Costs[[#This Row],[Dimensions]]&amp;GullyGrip_Blocking_Installation_Costs[[#This Row],[Installation ]]</f>
        <v>Heather Bale Dam&gt;2m - &lt;3mMachine</v>
      </c>
      <c r="F177" s="66">
        <v>1.5479083200000001</v>
      </c>
    </row>
    <row r="178" spans="2:6">
      <c r="B178" s="4" t="str">
        <f>$B$6</f>
        <v>Heather Bale Dam</v>
      </c>
      <c r="C178" s="4" t="str">
        <f>$D$24</f>
        <v>&gt;3m - &lt;4m</v>
      </c>
      <c r="D178" s="4" t="str">
        <f>D135</f>
        <v>Hand</v>
      </c>
      <c r="E178" s="4" t="str">
        <f>GullyGrip_Blocking_Installation_Costs[[#This Row],[Intervention Type]]&amp;GullyGrip_Blocking_Installation_Costs[[#This Row],[Dimensions]]&amp;GullyGrip_Blocking_Installation_Costs[[#This Row],[Installation ]]</f>
        <v>Heather Bale Dam&gt;3m - &lt;4mHand</v>
      </c>
      <c r="F178" s="66">
        <v>0</v>
      </c>
    </row>
    <row r="179" spans="2:6">
      <c r="B179" s="4" t="str">
        <f t="shared" si="30"/>
        <v>Heather Bale Dam</v>
      </c>
      <c r="C179" s="4" t="str">
        <f t="shared" ref="C179:C180" si="37">$D$24</f>
        <v>&gt;3m - &lt;4m</v>
      </c>
      <c r="D179" s="4" t="str">
        <f t="shared" ref="D179:D180" si="38">D136</f>
        <v>Helicopter - Assisted</v>
      </c>
      <c r="E179" s="4" t="str">
        <f>GullyGrip_Blocking_Installation_Costs[[#This Row],[Intervention Type]]&amp;GullyGrip_Blocking_Installation_Costs[[#This Row],[Dimensions]]&amp;GullyGrip_Blocking_Installation_Costs[[#This Row],[Installation ]]</f>
        <v>Heather Bale Dam&gt;3m - &lt;4mHelicopter - Assisted</v>
      </c>
      <c r="F179" s="66">
        <v>16.689959999999999</v>
      </c>
    </row>
    <row r="180" spans="2:6">
      <c r="B180" s="4" t="str">
        <f t="shared" si="30"/>
        <v>Heather Bale Dam</v>
      </c>
      <c r="C180" s="4" t="str">
        <f t="shared" si="37"/>
        <v>&gt;3m - &lt;4m</v>
      </c>
      <c r="D180" s="4" t="str">
        <f t="shared" si="38"/>
        <v>Machine</v>
      </c>
      <c r="E180" s="4" t="str">
        <f>GullyGrip_Blocking_Installation_Costs[[#This Row],[Intervention Type]]&amp;GullyGrip_Blocking_Installation_Costs[[#This Row],[Dimensions]]&amp;GullyGrip_Blocking_Installation_Costs[[#This Row],[Installation ]]</f>
        <v>Heather Bale Dam&gt;3m - &lt;4mMachine</v>
      </c>
      <c r="F180" s="66">
        <v>1.9761161280000001</v>
      </c>
    </row>
    <row r="181" spans="2:6">
      <c r="B181" s="4" t="str">
        <f>$B$6</f>
        <v>Heather Bale Dam</v>
      </c>
      <c r="C181" s="4" t="str">
        <f>$D$25</f>
        <v>&gt;4m</v>
      </c>
      <c r="D181" s="4" t="str">
        <f>D135</f>
        <v>Hand</v>
      </c>
      <c r="E181" s="4" t="str">
        <f>GullyGrip_Blocking_Installation_Costs[[#This Row],[Intervention Type]]&amp;GullyGrip_Blocking_Installation_Costs[[#This Row],[Dimensions]]&amp;GullyGrip_Blocking_Installation_Costs[[#This Row],[Installation ]]</f>
        <v>Heather Bale Dam&gt;4mHand</v>
      </c>
      <c r="F181" s="66">
        <v>0</v>
      </c>
    </row>
    <row r="182" spans="2:6">
      <c r="B182" s="4" t="str">
        <f t="shared" si="30"/>
        <v>Heather Bale Dam</v>
      </c>
      <c r="C182" s="4" t="str">
        <f t="shared" ref="C182:C183" si="39">$D$25</f>
        <v>&gt;4m</v>
      </c>
      <c r="D182" s="4" t="str">
        <f t="shared" ref="D182:D183" si="40">D136</f>
        <v>Helicopter - Assisted</v>
      </c>
      <c r="E182" s="4" t="str">
        <f>GullyGrip_Blocking_Installation_Costs[[#This Row],[Intervention Type]]&amp;GullyGrip_Blocking_Installation_Costs[[#This Row],[Dimensions]]&amp;GullyGrip_Blocking_Installation_Costs[[#This Row],[Installation ]]</f>
        <v>Heather Bale Dam&gt;4mHelicopter - Assisted</v>
      </c>
      <c r="F182" s="66">
        <v>20.027952000000003</v>
      </c>
    </row>
    <row r="183" spans="2:6">
      <c r="B183" s="4" t="str">
        <f t="shared" si="30"/>
        <v>Heather Bale Dam</v>
      </c>
      <c r="C183" s="4" t="str">
        <f t="shared" si="39"/>
        <v>&gt;4m</v>
      </c>
      <c r="D183" s="4" t="str">
        <f t="shared" si="40"/>
        <v>Machine</v>
      </c>
      <c r="E183" s="4" t="str">
        <f>GullyGrip_Blocking_Installation_Costs[[#This Row],[Intervention Type]]&amp;GullyGrip_Blocking_Installation_Costs[[#This Row],[Dimensions]]&amp;GullyGrip_Blocking_Installation_Costs[[#This Row],[Installation ]]</f>
        <v>Heather Bale Dam&gt;4mMachine</v>
      </c>
      <c r="F183" s="66">
        <v>2.190220032</v>
      </c>
    </row>
    <row r="184" spans="2:6">
      <c r="B184" s="4" t="str">
        <f t="shared" ref="B184:B193" si="41">$B$7</f>
        <v>Mineral Dam</v>
      </c>
      <c r="C184" s="4" t="str">
        <f>$E$21</f>
        <v>&lt;1m</v>
      </c>
      <c r="D184" s="4" t="str">
        <f>E135</f>
        <v>Hand</v>
      </c>
      <c r="E184" s="4" t="str">
        <f>GullyGrip_Blocking_Installation_Costs[[#This Row],[Intervention Type]]&amp;GullyGrip_Blocking_Installation_Costs[[#This Row],[Dimensions]]&amp;GullyGrip_Blocking_Installation_Costs[[#This Row],[Installation ]]</f>
        <v>Mineral Dam&lt;1mHand</v>
      </c>
      <c r="F184" s="66">
        <v>0</v>
      </c>
    </row>
    <row r="185" spans="2:6">
      <c r="B185" s="4" t="str">
        <f t="shared" si="41"/>
        <v>Mineral Dam</v>
      </c>
      <c r="C185" s="4" t="str">
        <f>$E$21</f>
        <v>&lt;1m</v>
      </c>
      <c r="D185" s="4" t="str">
        <f>E136</f>
        <v>Machine</v>
      </c>
      <c r="E185" s="4" t="str">
        <f>GullyGrip_Blocking_Installation_Costs[[#This Row],[Intervention Type]]&amp;GullyGrip_Blocking_Installation_Costs[[#This Row],[Dimensions]]&amp;GullyGrip_Blocking_Installation_Costs[[#This Row],[Installation ]]</f>
        <v>Mineral Dam&lt;1mMachine</v>
      </c>
      <c r="F185" s="66">
        <f>1.25*F195</f>
        <v>0.63619650000000005</v>
      </c>
    </row>
    <row r="186" spans="2:6">
      <c r="B186" s="4" t="str">
        <f t="shared" si="41"/>
        <v>Mineral Dam</v>
      </c>
      <c r="C186" s="4" t="str">
        <f>$E$22</f>
        <v>&gt;1m - &lt;2m</v>
      </c>
      <c r="D186" s="4" t="str">
        <f>E135</f>
        <v>Hand</v>
      </c>
      <c r="E186" s="4" t="str">
        <f>GullyGrip_Blocking_Installation_Costs[[#This Row],[Intervention Type]]&amp;GullyGrip_Blocking_Installation_Costs[[#This Row],[Dimensions]]&amp;GullyGrip_Blocking_Installation_Costs[[#This Row],[Installation ]]</f>
        <v>Mineral Dam&gt;1m - &lt;2mHand</v>
      </c>
      <c r="F186" s="66">
        <v>0</v>
      </c>
    </row>
    <row r="187" spans="2:6">
      <c r="B187" s="4" t="str">
        <f t="shared" si="41"/>
        <v>Mineral Dam</v>
      </c>
      <c r="C187" s="4" t="str">
        <f>$E$22</f>
        <v>&gt;1m - &lt;2m</v>
      </c>
      <c r="D187" s="4" t="str">
        <f>E136</f>
        <v>Machine</v>
      </c>
      <c r="E187" s="4" t="str">
        <f>GullyGrip_Blocking_Installation_Costs[[#This Row],[Intervention Type]]&amp;GullyGrip_Blocking_Installation_Costs[[#This Row],[Dimensions]]&amp;GullyGrip_Blocking_Installation_Costs[[#This Row],[Installation ]]</f>
        <v>Mineral Dam&gt;1m - &lt;2mMachine</v>
      </c>
      <c r="F187" s="66">
        <f>1.25*F197</f>
        <v>0.93434249999999996</v>
      </c>
    </row>
    <row r="188" spans="2:6">
      <c r="B188" s="4" t="str">
        <f t="shared" si="41"/>
        <v>Mineral Dam</v>
      </c>
      <c r="C188" s="4" t="str">
        <f>$E$23</f>
        <v>&gt;2m - &lt;3m</v>
      </c>
      <c r="D188" s="4" t="str">
        <f>E135</f>
        <v>Hand</v>
      </c>
      <c r="E188" s="4" t="str">
        <f>GullyGrip_Blocking_Installation_Costs[[#This Row],[Intervention Type]]&amp;GullyGrip_Blocking_Installation_Costs[[#This Row],[Dimensions]]&amp;GullyGrip_Blocking_Installation_Costs[[#This Row],[Installation ]]</f>
        <v>Mineral Dam&gt;2m - &lt;3mHand</v>
      </c>
      <c r="F188" s="66">
        <v>0</v>
      </c>
    </row>
    <row r="189" spans="2:6">
      <c r="B189" s="4" t="str">
        <f t="shared" si="41"/>
        <v>Mineral Dam</v>
      </c>
      <c r="C189" s="4" t="str">
        <f>$E$23</f>
        <v>&gt;2m - &lt;3m</v>
      </c>
      <c r="D189" s="4" t="str">
        <f>E136</f>
        <v>Machine</v>
      </c>
      <c r="E189" s="4" t="str">
        <f>GullyGrip_Blocking_Installation_Costs[[#This Row],[Intervention Type]]&amp;GullyGrip_Blocking_Installation_Costs[[#This Row],[Dimensions]]&amp;GullyGrip_Blocking_Installation_Costs[[#This Row],[Installation ]]</f>
        <v>Mineral Dam&gt;2m - &lt;3mMachine</v>
      </c>
      <c r="F189" s="66">
        <f>1.25*F199</f>
        <v>1.5306345000000001</v>
      </c>
    </row>
    <row r="190" spans="2:6">
      <c r="B190" s="4" t="str">
        <f t="shared" si="41"/>
        <v>Mineral Dam</v>
      </c>
      <c r="C190" s="4" t="str">
        <f>$E$24</f>
        <v>&gt;3m - &lt;4m</v>
      </c>
      <c r="D190" s="4" t="str">
        <f>E135</f>
        <v>Hand</v>
      </c>
      <c r="E190" s="4" t="str">
        <f>GullyGrip_Blocking_Installation_Costs[[#This Row],[Intervention Type]]&amp;GullyGrip_Blocking_Installation_Costs[[#This Row],[Dimensions]]&amp;GullyGrip_Blocking_Installation_Costs[[#This Row],[Installation ]]</f>
        <v>Mineral Dam&gt;3m - &lt;4mHand</v>
      </c>
      <c r="F190" s="66">
        <v>0</v>
      </c>
    </row>
    <row r="191" spans="2:6">
      <c r="B191" s="4" t="str">
        <f t="shared" si="41"/>
        <v>Mineral Dam</v>
      </c>
      <c r="C191" s="4" t="str">
        <f>$E$24</f>
        <v>&gt;3m - &lt;4m</v>
      </c>
      <c r="D191" s="4" t="str">
        <f>E136</f>
        <v>Machine</v>
      </c>
      <c r="E191" s="4" t="str">
        <f>GullyGrip_Blocking_Installation_Costs[[#This Row],[Intervention Type]]&amp;GullyGrip_Blocking_Installation_Costs[[#This Row],[Dimensions]]&amp;GullyGrip_Blocking_Installation_Costs[[#This Row],[Installation ]]</f>
        <v>Mineral Dam&gt;3m - &lt;4mMachine</v>
      </c>
      <c r="F191" s="66">
        <f>1.25*F201</f>
        <v>2.1269265000000002</v>
      </c>
    </row>
    <row r="192" spans="2:6">
      <c r="B192" s="4" t="str">
        <f t="shared" si="41"/>
        <v>Mineral Dam</v>
      </c>
      <c r="C192" s="4" t="str">
        <f>$E$25</f>
        <v>&gt;4m</v>
      </c>
      <c r="D192" s="4" t="str">
        <f>E135</f>
        <v>Hand</v>
      </c>
      <c r="E192" s="4" t="str">
        <f>GullyGrip_Blocking_Installation_Costs[[#This Row],[Intervention Type]]&amp;GullyGrip_Blocking_Installation_Costs[[#This Row],[Dimensions]]&amp;GullyGrip_Blocking_Installation_Costs[[#This Row],[Installation ]]</f>
        <v>Mineral Dam&gt;4mHand</v>
      </c>
      <c r="F192" s="66">
        <v>0</v>
      </c>
    </row>
    <row r="193" spans="2:6">
      <c r="B193" s="4" t="str">
        <f t="shared" si="41"/>
        <v>Mineral Dam</v>
      </c>
      <c r="C193" s="4" t="str">
        <f>$E$25</f>
        <v>&gt;4m</v>
      </c>
      <c r="D193" s="4" t="str">
        <f>E136</f>
        <v>Machine</v>
      </c>
      <c r="E193" s="4" t="str">
        <f>GullyGrip_Blocking_Installation_Costs[[#This Row],[Intervention Type]]&amp;GullyGrip_Blocking_Installation_Costs[[#This Row],[Dimensions]]&amp;GullyGrip_Blocking_Installation_Costs[[#This Row],[Installation ]]</f>
        <v>Mineral Dam&gt;4mMachine</v>
      </c>
      <c r="F193" s="66">
        <f>1.25*F203</f>
        <v>2.4250725000000002</v>
      </c>
    </row>
    <row r="194" spans="2:6">
      <c r="B194" s="4" t="str">
        <f>$B$8</f>
        <v>Peat Dam</v>
      </c>
      <c r="C194" s="4" t="str">
        <f>$F$21</f>
        <v>&lt;1m</v>
      </c>
      <c r="D194" s="4" t="str">
        <f>F135</f>
        <v>Hand</v>
      </c>
      <c r="E194" s="4" t="str">
        <f>GullyGrip_Blocking_Installation_Costs[[#This Row],[Intervention Type]]&amp;GullyGrip_Blocking_Installation_Costs[[#This Row],[Dimensions]]&amp;GullyGrip_Blocking_Installation_Costs[[#This Row],[Installation ]]</f>
        <v>Peat Dam&lt;1mHand</v>
      </c>
      <c r="F194" s="66">
        <v>0</v>
      </c>
    </row>
    <row r="195" spans="2:6">
      <c r="B195" s="4" t="str">
        <f t="shared" ref="B195:B203" si="42">$B$8</f>
        <v>Peat Dam</v>
      </c>
      <c r="C195" s="4" t="str">
        <f>$F$21</f>
        <v>&lt;1m</v>
      </c>
      <c r="D195" s="4" t="str">
        <f>F136</f>
        <v>Machine</v>
      </c>
      <c r="E195" s="4" t="str">
        <f>GullyGrip_Blocking_Installation_Costs[[#This Row],[Intervention Type]]&amp;GullyGrip_Blocking_Installation_Costs[[#This Row],[Dimensions]]&amp;GullyGrip_Blocking_Installation_Costs[[#This Row],[Installation ]]</f>
        <v>Peat Dam&lt;1mMachine</v>
      </c>
      <c r="F195" s="66">
        <v>0.5089572</v>
      </c>
    </row>
    <row r="196" spans="2:6">
      <c r="B196" s="4" t="str">
        <f t="shared" si="42"/>
        <v>Peat Dam</v>
      </c>
      <c r="C196" s="4" t="str">
        <f>$F$22</f>
        <v>&gt;1m - &lt;2m</v>
      </c>
      <c r="D196" s="4" t="str">
        <f>F135</f>
        <v>Hand</v>
      </c>
      <c r="E196" s="4" t="str">
        <f>GullyGrip_Blocking_Installation_Costs[[#This Row],[Intervention Type]]&amp;GullyGrip_Blocking_Installation_Costs[[#This Row],[Dimensions]]&amp;GullyGrip_Blocking_Installation_Costs[[#This Row],[Installation ]]</f>
        <v>Peat Dam&gt;1m - &lt;2mHand</v>
      </c>
      <c r="F196" s="66">
        <v>0</v>
      </c>
    </row>
    <row r="197" spans="2:6">
      <c r="B197" s="4" t="str">
        <f t="shared" si="42"/>
        <v>Peat Dam</v>
      </c>
      <c r="C197" s="4" t="str">
        <f>$F$22</f>
        <v>&gt;1m - &lt;2m</v>
      </c>
      <c r="D197" s="4" t="str">
        <f>F136</f>
        <v>Machine</v>
      </c>
      <c r="E197" s="4" t="str">
        <f>GullyGrip_Blocking_Installation_Costs[[#This Row],[Intervention Type]]&amp;GullyGrip_Blocking_Installation_Costs[[#This Row],[Dimensions]]&amp;GullyGrip_Blocking_Installation_Costs[[#This Row],[Installation ]]</f>
        <v>Peat Dam&gt;1m - &lt;2mMachine</v>
      </c>
      <c r="F197" s="66">
        <v>0.74747399999999997</v>
      </c>
    </row>
    <row r="198" spans="2:6">
      <c r="B198" s="4" t="str">
        <f t="shared" si="42"/>
        <v>Peat Dam</v>
      </c>
      <c r="C198" s="4" t="str">
        <f>$F$23</f>
        <v>&gt;2m - &lt;3m</v>
      </c>
      <c r="D198" s="4" t="str">
        <f>F135</f>
        <v>Hand</v>
      </c>
      <c r="E198" s="4" t="str">
        <f>GullyGrip_Blocking_Installation_Costs[[#This Row],[Intervention Type]]&amp;GullyGrip_Blocking_Installation_Costs[[#This Row],[Dimensions]]&amp;GullyGrip_Blocking_Installation_Costs[[#This Row],[Installation ]]</f>
        <v>Peat Dam&gt;2m - &lt;3mHand</v>
      </c>
      <c r="F198" s="66">
        <v>0</v>
      </c>
    </row>
    <row r="199" spans="2:6">
      <c r="B199" s="4" t="str">
        <f t="shared" si="42"/>
        <v>Peat Dam</v>
      </c>
      <c r="C199" s="4" t="str">
        <f>$F$23</f>
        <v>&gt;2m - &lt;3m</v>
      </c>
      <c r="D199" s="4" t="str">
        <f>F136</f>
        <v>Machine</v>
      </c>
      <c r="E199" s="4" t="str">
        <f>GullyGrip_Blocking_Installation_Costs[[#This Row],[Intervention Type]]&amp;GullyGrip_Blocking_Installation_Costs[[#This Row],[Dimensions]]&amp;GullyGrip_Blocking_Installation_Costs[[#This Row],[Installation ]]</f>
        <v>Peat Dam&gt;2m - &lt;3mMachine</v>
      </c>
      <c r="F199" s="66">
        <v>1.2245076000000001</v>
      </c>
    </row>
    <row r="200" spans="2:6">
      <c r="B200" s="4" t="str">
        <f t="shared" si="42"/>
        <v>Peat Dam</v>
      </c>
      <c r="C200" s="4" t="str">
        <f>$F$24</f>
        <v>&gt;3m - &lt;4m</v>
      </c>
      <c r="D200" s="4" t="str">
        <f>F135</f>
        <v>Hand</v>
      </c>
      <c r="E200" s="4" t="str">
        <f>GullyGrip_Blocking_Installation_Costs[[#This Row],[Intervention Type]]&amp;GullyGrip_Blocking_Installation_Costs[[#This Row],[Dimensions]]&amp;GullyGrip_Blocking_Installation_Costs[[#This Row],[Installation ]]</f>
        <v>Peat Dam&gt;3m - &lt;4mHand</v>
      </c>
      <c r="F200" s="66">
        <v>0</v>
      </c>
    </row>
    <row r="201" spans="2:6">
      <c r="B201" s="4" t="str">
        <f t="shared" si="42"/>
        <v>Peat Dam</v>
      </c>
      <c r="C201" s="4" t="str">
        <f>$F$24</f>
        <v>&gt;3m - &lt;4m</v>
      </c>
      <c r="D201" s="4" t="str">
        <f>F136</f>
        <v>Machine</v>
      </c>
      <c r="E201" s="4" t="str">
        <f>GullyGrip_Blocking_Installation_Costs[[#This Row],[Intervention Type]]&amp;GullyGrip_Blocking_Installation_Costs[[#This Row],[Dimensions]]&amp;GullyGrip_Blocking_Installation_Costs[[#This Row],[Installation ]]</f>
        <v>Peat Dam&gt;3m - &lt;4mMachine</v>
      </c>
      <c r="F201" s="66">
        <v>1.7015412000000001</v>
      </c>
    </row>
    <row r="202" spans="2:6">
      <c r="B202" s="4" t="str">
        <f t="shared" si="42"/>
        <v>Peat Dam</v>
      </c>
      <c r="C202" s="4" t="str">
        <f>$F$25</f>
        <v>&gt;4m</v>
      </c>
      <c r="D202" s="4" t="str">
        <f>F135</f>
        <v>Hand</v>
      </c>
      <c r="E202" s="4" t="str">
        <f>GullyGrip_Blocking_Installation_Costs[[#This Row],[Intervention Type]]&amp;GullyGrip_Blocking_Installation_Costs[[#This Row],[Dimensions]]&amp;GullyGrip_Blocking_Installation_Costs[[#This Row],[Installation ]]</f>
        <v>Peat Dam&gt;4mHand</v>
      </c>
      <c r="F202" s="66">
        <v>0</v>
      </c>
    </row>
    <row r="203" spans="2:6">
      <c r="B203" s="4" t="str">
        <f t="shared" si="42"/>
        <v>Peat Dam</v>
      </c>
      <c r="C203" s="4" t="str">
        <f>$F$25</f>
        <v>&gt;4m</v>
      </c>
      <c r="D203" s="4" t="str">
        <f>F136</f>
        <v>Machine</v>
      </c>
      <c r="E203" s="4" t="str">
        <f>GullyGrip_Blocking_Installation_Costs[[#This Row],[Intervention Type]]&amp;GullyGrip_Blocking_Installation_Costs[[#This Row],[Dimensions]]&amp;GullyGrip_Blocking_Installation_Costs[[#This Row],[Installation ]]</f>
        <v>Peat Dam&gt;4mMachine</v>
      </c>
      <c r="F203" s="66">
        <v>1.9400580000000003</v>
      </c>
    </row>
    <row r="204" spans="2:6">
      <c r="B204" s="4" t="str">
        <f>$B$9</f>
        <v>Peat Wave Dam</v>
      </c>
      <c r="C204" s="4" t="str">
        <f>$G$21</f>
        <v>&lt;1m</v>
      </c>
      <c r="D204" s="4" t="str">
        <f>G135</f>
        <v>Hand</v>
      </c>
      <c r="E204" s="4" t="str">
        <f>GullyGrip_Blocking_Installation_Costs[[#This Row],[Intervention Type]]&amp;GullyGrip_Blocking_Installation_Costs[[#This Row],[Dimensions]]&amp;GullyGrip_Blocking_Installation_Costs[[#This Row],[Installation ]]</f>
        <v>Peat Wave Dam&lt;1mHand</v>
      </c>
      <c r="F204" s="66">
        <v>0</v>
      </c>
    </row>
    <row r="205" spans="2:6">
      <c r="B205" s="4" t="str">
        <f t="shared" ref="B205:B213" si="43">$B$9</f>
        <v>Peat Wave Dam</v>
      </c>
      <c r="C205" s="4" t="str">
        <f>$G$21</f>
        <v>&lt;1m</v>
      </c>
      <c r="D205" s="4" t="str">
        <f>G136</f>
        <v>Machine</v>
      </c>
      <c r="E205" s="4" t="str">
        <f>GullyGrip_Blocking_Installation_Costs[[#This Row],[Intervention Type]]&amp;GullyGrip_Blocking_Installation_Costs[[#This Row],[Dimensions]]&amp;GullyGrip_Blocking_Installation_Costs[[#This Row],[Installation ]]</f>
        <v>Peat Wave Dam&lt;1mMachine</v>
      </c>
      <c r="F205" s="66">
        <f>1.25*F195</f>
        <v>0.63619650000000005</v>
      </c>
    </row>
    <row r="206" spans="2:6">
      <c r="B206" s="4" t="str">
        <f t="shared" si="43"/>
        <v>Peat Wave Dam</v>
      </c>
      <c r="C206" s="4" t="str">
        <f>$G$22</f>
        <v>&gt;1m - &lt;2m</v>
      </c>
      <c r="D206" s="4" t="str">
        <f>G135</f>
        <v>Hand</v>
      </c>
      <c r="E206" s="4" t="str">
        <f>GullyGrip_Blocking_Installation_Costs[[#This Row],[Intervention Type]]&amp;GullyGrip_Blocking_Installation_Costs[[#This Row],[Dimensions]]&amp;GullyGrip_Blocking_Installation_Costs[[#This Row],[Installation ]]</f>
        <v>Peat Wave Dam&gt;1m - &lt;2mHand</v>
      </c>
      <c r="F206" s="66">
        <v>0</v>
      </c>
    </row>
    <row r="207" spans="2:6">
      <c r="B207" s="4" t="str">
        <f t="shared" si="43"/>
        <v>Peat Wave Dam</v>
      </c>
      <c r="C207" s="4" t="str">
        <f>$G$22</f>
        <v>&gt;1m - &lt;2m</v>
      </c>
      <c r="D207" s="4" t="str">
        <f>G136</f>
        <v>Machine</v>
      </c>
      <c r="E207" s="4" t="str">
        <f>GullyGrip_Blocking_Installation_Costs[[#This Row],[Intervention Type]]&amp;GullyGrip_Blocking_Installation_Costs[[#This Row],[Dimensions]]&amp;GullyGrip_Blocking_Installation_Costs[[#This Row],[Installation ]]</f>
        <v>Peat Wave Dam&gt;1m - &lt;2mMachine</v>
      </c>
      <c r="F207" s="66">
        <f>1.25*F197</f>
        <v>0.93434249999999996</v>
      </c>
    </row>
    <row r="208" spans="2:6">
      <c r="B208" s="4" t="str">
        <f t="shared" si="43"/>
        <v>Peat Wave Dam</v>
      </c>
      <c r="C208" s="4" t="str">
        <f>$G$23</f>
        <v>&gt;2m - &lt;3m</v>
      </c>
      <c r="D208" s="4" t="str">
        <f>G135</f>
        <v>Hand</v>
      </c>
      <c r="E208" s="4" t="str">
        <f>GullyGrip_Blocking_Installation_Costs[[#This Row],[Intervention Type]]&amp;GullyGrip_Blocking_Installation_Costs[[#This Row],[Dimensions]]&amp;GullyGrip_Blocking_Installation_Costs[[#This Row],[Installation ]]</f>
        <v>Peat Wave Dam&gt;2m - &lt;3mHand</v>
      </c>
      <c r="F208" s="66">
        <v>0</v>
      </c>
    </row>
    <row r="209" spans="2:6">
      <c r="B209" s="4" t="str">
        <f t="shared" si="43"/>
        <v>Peat Wave Dam</v>
      </c>
      <c r="C209" s="4" t="str">
        <f>$G$23</f>
        <v>&gt;2m - &lt;3m</v>
      </c>
      <c r="D209" s="4" t="str">
        <f>G136</f>
        <v>Machine</v>
      </c>
      <c r="E209" s="4" t="str">
        <f>GullyGrip_Blocking_Installation_Costs[[#This Row],[Intervention Type]]&amp;GullyGrip_Blocking_Installation_Costs[[#This Row],[Dimensions]]&amp;GullyGrip_Blocking_Installation_Costs[[#This Row],[Installation ]]</f>
        <v>Peat Wave Dam&gt;2m - &lt;3mMachine</v>
      </c>
      <c r="F209" s="65">
        <f>1.25*F199</f>
        <v>1.5306345000000001</v>
      </c>
    </row>
    <row r="210" spans="2:6">
      <c r="B210" s="4" t="str">
        <f t="shared" si="43"/>
        <v>Peat Wave Dam</v>
      </c>
      <c r="C210" s="4" t="str">
        <f>$G$24</f>
        <v>&gt;3m - &lt;4m</v>
      </c>
      <c r="D210" s="4" t="str">
        <f>G135</f>
        <v>Hand</v>
      </c>
      <c r="E210" s="4" t="str">
        <f>GullyGrip_Blocking_Installation_Costs[[#This Row],[Intervention Type]]&amp;GullyGrip_Blocking_Installation_Costs[[#This Row],[Dimensions]]&amp;GullyGrip_Blocking_Installation_Costs[[#This Row],[Installation ]]</f>
        <v>Peat Wave Dam&gt;3m - &lt;4mHand</v>
      </c>
      <c r="F210" s="65">
        <v>0</v>
      </c>
    </row>
    <row r="211" spans="2:6">
      <c r="B211" s="4" t="str">
        <f t="shared" si="43"/>
        <v>Peat Wave Dam</v>
      </c>
      <c r="C211" s="4" t="str">
        <f>$G$24</f>
        <v>&gt;3m - &lt;4m</v>
      </c>
      <c r="D211" s="4" t="str">
        <f>G136</f>
        <v>Machine</v>
      </c>
      <c r="E211" s="4" t="str">
        <f>GullyGrip_Blocking_Installation_Costs[[#This Row],[Intervention Type]]&amp;GullyGrip_Blocking_Installation_Costs[[#This Row],[Dimensions]]&amp;GullyGrip_Blocking_Installation_Costs[[#This Row],[Installation ]]</f>
        <v>Peat Wave Dam&gt;3m - &lt;4mMachine</v>
      </c>
      <c r="F211" s="65">
        <f>1.25*F201</f>
        <v>2.1269265000000002</v>
      </c>
    </row>
    <row r="212" spans="2:6">
      <c r="B212" s="4" t="str">
        <f t="shared" si="43"/>
        <v>Peat Wave Dam</v>
      </c>
      <c r="C212" s="4" t="str">
        <f>$G$25</f>
        <v>&gt;4m</v>
      </c>
      <c r="D212" s="4" t="str">
        <f>G135</f>
        <v>Hand</v>
      </c>
      <c r="E212" s="4" t="str">
        <f>GullyGrip_Blocking_Installation_Costs[[#This Row],[Intervention Type]]&amp;GullyGrip_Blocking_Installation_Costs[[#This Row],[Dimensions]]&amp;GullyGrip_Blocking_Installation_Costs[[#This Row],[Installation ]]</f>
        <v>Peat Wave Dam&gt;4mHand</v>
      </c>
      <c r="F212" s="65">
        <v>0</v>
      </c>
    </row>
    <row r="213" spans="2:6">
      <c r="B213" s="4" t="str">
        <f t="shared" si="43"/>
        <v>Peat Wave Dam</v>
      </c>
      <c r="C213" s="4" t="str">
        <f>$G$25</f>
        <v>&gt;4m</v>
      </c>
      <c r="D213" s="4" t="str">
        <f>G136</f>
        <v>Machine</v>
      </c>
      <c r="E213" s="4" t="str">
        <f>GullyGrip_Blocking_Installation_Costs[[#This Row],[Intervention Type]]&amp;GullyGrip_Blocking_Installation_Costs[[#This Row],[Dimensions]]&amp;GullyGrip_Blocking_Installation_Costs[[#This Row],[Installation ]]</f>
        <v>Peat Wave Dam&gt;4mMachine</v>
      </c>
      <c r="F213" s="65">
        <f>1.25*F203</f>
        <v>2.4250725000000002</v>
      </c>
    </row>
    <row r="214" spans="2:6">
      <c r="B214" s="4" t="str">
        <f>$B$10</f>
        <v>Peat Wave Dam/Zippering</v>
      </c>
      <c r="C214" s="4" t="str">
        <f>$H$21</f>
        <v>&lt;1m</v>
      </c>
      <c r="D214" s="4" t="str">
        <f>H135</f>
        <v>Hand</v>
      </c>
      <c r="E214" s="4" t="str">
        <f>GullyGrip_Blocking_Installation_Costs[[#This Row],[Intervention Type]]&amp;GullyGrip_Blocking_Installation_Costs[[#This Row],[Dimensions]]&amp;GullyGrip_Blocking_Installation_Costs[[#This Row],[Installation ]]</f>
        <v>Peat Wave Dam/Zippering&lt;1mHand</v>
      </c>
      <c r="F214" s="65">
        <v>0</v>
      </c>
    </row>
    <row r="215" spans="2:6">
      <c r="B215" s="4" t="str">
        <f t="shared" ref="B215:B223" si="44">$B$10</f>
        <v>Peat Wave Dam/Zippering</v>
      </c>
      <c r="C215" s="4" t="str">
        <f>$H$21</f>
        <v>&lt;1m</v>
      </c>
      <c r="D215" s="4" t="str">
        <f>H136</f>
        <v>Machine</v>
      </c>
      <c r="E215" s="4" t="str">
        <f>GullyGrip_Blocking_Installation_Costs[[#This Row],[Intervention Type]]&amp;GullyGrip_Blocking_Installation_Costs[[#This Row],[Dimensions]]&amp;GullyGrip_Blocking_Installation_Costs[[#This Row],[Installation ]]</f>
        <v>Peat Wave Dam/Zippering&lt;1mMachine</v>
      </c>
      <c r="F215" s="65">
        <f>F205</f>
        <v>0.63619650000000005</v>
      </c>
    </row>
    <row r="216" spans="2:6">
      <c r="B216" s="4" t="str">
        <f t="shared" si="44"/>
        <v>Peat Wave Dam/Zippering</v>
      </c>
      <c r="C216" s="4" t="str">
        <f>$H$22</f>
        <v>&gt;1m - &lt;2m</v>
      </c>
      <c r="D216" s="4" t="str">
        <f>H135</f>
        <v>Hand</v>
      </c>
      <c r="E216" s="4" t="str">
        <f>GullyGrip_Blocking_Installation_Costs[[#This Row],[Intervention Type]]&amp;GullyGrip_Blocking_Installation_Costs[[#This Row],[Dimensions]]&amp;GullyGrip_Blocking_Installation_Costs[[#This Row],[Installation ]]</f>
        <v>Peat Wave Dam/Zippering&gt;1m - &lt;2mHand</v>
      </c>
      <c r="F216" s="65">
        <v>0</v>
      </c>
    </row>
    <row r="217" spans="2:6">
      <c r="B217" s="4" t="str">
        <f t="shared" si="44"/>
        <v>Peat Wave Dam/Zippering</v>
      </c>
      <c r="C217" s="4" t="str">
        <f>$H$22</f>
        <v>&gt;1m - &lt;2m</v>
      </c>
      <c r="D217" s="4" t="str">
        <f>H136</f>
        <v>Machine</v>
      </c>
      <c r="E217" s="4" t="str">
        <f>GullyGrip_Blocking_Installation_Costs[[#This Row],[Intervention Type]]&amp;GullyGrip_Blocking_Installation_Costs[[#This Row],[Dimensions]]&amp;GullyGrip_Blocking_Installation_Costs[[#This Row],[Installation ]]</f>
        <v>Peat Wave Dam/Zippering&gt;1m - &lt;2mMachine</v>
      </c>
      <c r="F217" s="65">
        <f>F207*2</f>
        <v>1.8686849999999999</v>
      </c>
    </row>
    <row r="218" spans="2:6">
      <c r="B218" s="4" t="str">
        <f t="shared" si="44"/>
        <v>Peat Wave Dam/Zippering</v>
      </c>
      <c r="C218" s="4" t="str">
        <f>$H$23</f>
        <v>&gt;2m - &lt;3m</v>
      </c>
      <c r="D218" s="4" t="str">
        <f>H135</f>
        <v>Hand</v>
      </c>
      <c r="E218" s="4" t="str">
        <f>GullyGrip_Blocking_Installation_Costs[[#This Row],[Intervention Type]]&amp;GullyGrip_Blocking_Installation_Costs[[#This Row],[Dimensions]]&amp;GullyGrip_Blocking_Installation_Costs[[#This Row],[Installation ]]</f>
        <v>Peat Wave Dam/Zippering&gt;2m - &lt;3mHand</v>
      </c>
      <c r="F218" s="65">
        <v>0</v>
      </c>
    </row>
    <row r="219" spans="2:6">
      <c r="B219" s="4" t="str">
        <f t="shared" si="44"/>
        <v>Peat Wave Dam/Zippering</v>
      </c>
      <c r="C219" s="4" t="str">
        <f>$H$23</f>
        <v>&gt;2m - &lt;3m</v>
      </c>
      <c r="D219" s="4" t="str">
        <f>H136</f>
        <v>Machine</v>
      </c>
      <c r="E219" s="4" t="str">
        <f>GullyGrip_Blocking_Installation_Costs[[#This Row],[Intervention Type]]&amp;GullyGrip_Blocking_Installation_Costs[[#This Row],[Dimensions]]&amp;GullyGrip_Blocking_Installation_Costs[[#This Row],[Installation ]]</f>
        <v>Peat Wave Dam/Zippering&gt;2m - &lt;3mMachine</v>
      </c>
      <c r="F219" s="65">
        <f>F209*2</f>
        <v>3.0612690000000002</v>
      </c>
    </row>
    <row r="220" spans="2:6">
      <c r="B220" s="4" t="str">
        <f t="shared" si="44"/>
        <v>Peat Wave Dam/Zippering</v>
      </c>
      <c r="C220" s="4" t="str">
        <f>$H$24</f>
        <v>&gt;3m - &lt;4m</v>
      </c>
      <c r="D220" s="4" t="str">
        <f>H135</f>
        <v>Hand</v>
      </c>
      <c r="E220" s="4" t="str">
        <f>GullyGrip_Blocking_Installation_Costs[[#This Row],[Intervention Type]]&amp;GullyGrip_Blocking_Installation_Costs[[#This Row],[Dimensions]]&amp;GullyGrip_Blocking_Installation_Costs[[#This Row],[Installation ]]</f>
        <v>Peat Wave Dam/Zippering&gt;3m - &lt;4mHand</v>
      </c>
      <c r="F220" s="65">
        <v>0</v>
      </c>
    </row>
    <row r="221" spans="2:6">
      <c r="B221" s="4" t="str">
        <f t="shared" si="44"/>
        <v>Peat Wave Dam/Zippering</v>
      </c>
      <c r="C221" s="4" t="str">
        <f>$H$24</f>
        <v>&gt;3m - &lt;4m</v>
      </c>
      <c r="D221" s="4" t="str">
        <f>H136</f>
        <v>Machine</v>
      </c>
      <c r="E221" s="4" t="str">
        <f>GullyGrip_Blocking_Installation_Costs[[#This Row],[Intervention Type]]&amp;GullyGrip_Blocking_Installation_Costs[[#This Row],[Dimensions]]&amp;GullyGrip_Blocking_Installation_Costs[[#This Row],[Installation ]]</f>
        <v>Peat Wave Dam/Zippering&gt;3m - &lt;4mMachine</v>
      </c>
      <c r="F221" s="65">
        <f>F211*2</f>
        <v>4.2538530000000003</v>
      </c>
    </row>
    <row r="222" spans="2:6">
      <c r="B222" s="4" t="str">
        <f t="shared" si="44"/>
        <v>Peat Wave Dam/Zippering</v>
      </c>
      <c r="C222" s="4" t="str">
        <f>$H$25</f>
        <v>&gt;4m</v>
      </c>
      <c r="D222" s="4" t="str">
        <f>H135</f>
        <v>Hand</v>
      </c>
      <c r="E222" s="4" t="str">
        <f>GullyGrip_Blocking_Installation_Costs[[#This Row],[Intervention Type]]&amp;GullyGrip_Blocking_Installation_Costs[[#This Row],[Dimensions]]&amp;GullyGrip_Blocking_Installation_Costs[[#This Row],[Installation ]]</f>
        <v>Peat Wave Dam/Zippering&gt;4mHand</v>
      </c>
      <c r="F222" s="65">
        <v>0</v>
      </c>
    </row>
    <row r="223" spans="2:6">
      <c r="B223" s="4" t="str">
        <f t="shared" si="44"/>
        <v>Peat Wave Dam/Zippering</v>
      </c>
      <c r="C223" s="4" t="str">
        <f>$H$25</f>
        <v>&gt;4m</v>
      </c>
      <c r="D223" s="4" t="str">
        <f>H136</f>
        <v>Machine</v>
      </c>
      <c r="E223" s="4" t="str">
        <f>GullyGrip_Blocking_Installation_Costs[[#This Row],[Intervention Type]]&amp;GullyGrip_Blocking_Installation_Costs[[#This Row],[Dimensions]]&amp;GullyGrip_Blocking_Installation_Costs[[#This Row],[Installation ]]</f>
        <v>Peat Wave Dam/Zippering&gt;4mMachine</v>
      </c>
      <c r="F223" s="65">
        <f>F213*2</f>
        <v>4.8501450000000004</v>
      </c>
    </row>
    <row r="224" spans="2:6">
      <c r="B224" s="4" t="str">
        <f>$B$11</f>
        <v>Plastic Piling</v>
      </c>
      <c r="C224" s="4" t="str">
        <f>$I$21</f>
        <v>&lt;1m</v>
      </c>
      <c r="D224" s="4" t="str">
        <f>I135</f>
        <v>Hand</v>
      </c>
      <c r="E224" s="4" t="str">
        <f>GullyGrip_Blocking_Installation_Costs[[#This Row],[Intervention Type]]&amp;GullyGrip_Blocking_Installation_Costs[[#This Row],[Dimensions]]&amp;GullyGrip_Blocking_Installation_Costs[[#This Row],[Installation ]]</f>
        <v>Plastic Piling&lt;1mHand</v>
      </c>
      <c r="F224" s="66">
        <v>0</v>
      </c>
    </row>
    <row r="225" spans="2:6">
      <c r="B225" s="4" t="str">
        <f t="shared" ref="B225:B238" si="45">$B$11</f>
        <v>Plastic Piling</v>
      </c>
      <c r="C225" s="4" t="str">
        <f t="shared" ref="C225:C226" si="46">$I$21</f>
        <v>&lt;1m</v>
      </c>
      <c r="D225" s="4" t="str">
        <f t="shared" ref="D225:D226" si="47">I136</f>
        <v>Helicopter - Assisted</v>
      </c>
      <c r="E225" s="4" t="str">
        <f>GullyGrip_Blocking_Installation_Costs[[#This Row],[Intervention Type]]&amp;GullyGrip_Blocking_Installation_Costs[[#This Row],[Dimensions]]&amp;GullyGrip_Blocking_Installation_Costs[[#This Row],[Installation ]]</f>
        <v>Plastic Piling&lt;1mHelicopter - Assisted</v>
      </c>
      <c r="F225" s="66">
        <v>0.7876915200000002</v>
      </c>
    </row>
    <row r="226" spans="2:6">
      <c r="B226" s="4" t="str">
        <f t="shared" si="45"/>
        <v>Plastic Piling</v>
      </c>
      <c r="C226" s="4" t="str">
        <f t="shared" si="46"/>
        <v>&lt;1m</v>
      </c>
      <c r="D226" s="4" t="str">
        <f t="shared" si="47"/>
        <v>Machine</v>
      </c>
      <c r="E226" s="4" t="str">
        <f>GullyGrip_Blocking_Installation_Costs[[#This Row],[Intervention Type]]&amp;GullyGrip_Blocking_Installation_Costs[[#This Row],[Dimensions]]&amp;GullyGrip_Blocking_Installation_Costs[[#This Row],[Installation ]]</f>
        <v>Plastic Piling&lt;1mMachine</v>
      </c>
      <c r="F226" s="66">
        <v>0.43070006880000006</v>
      </c>
    </row>
    <row r="227" spans="2:6">
      <c r="B227" s="4" t="str">
        <f t="shared" si="45"/>
        <v>Plastic Piling</v>
      </c>
      <c r="C227" s="4" t="str">
        <f>$I$22</f>
        <v>&gt;1m - &lt;2m</v>
      </c>
      <c r="D227" s="4" t="str">
        <f>I135</f>
        <v>Hand</v>
      </c>
      <c r="E227" s="4" t="str">
        <f>GullyGrip_Blocking_Installation_Costs[[#This Row],[Intervention Type]]&amp;GullyGrip_Blocking_Installation_Costs[[#This Row],[Dimensions]]&amp;GullyGrip_Blocking_Installation_Costs[[#This Row],[Installation ]]</f>
        <v>Plastic Piling&gt;1m - &lt;2mHand</v>
      </c>
      <c r="F227" s="66">
        <v>0</v>
      </c>
    </row>
    <row r="228" spans="2:6">
      <c r="B228" s="4" t="str">
        <f t="shared" si="45"/>
        <v>Plastic Piling</v>
      </c>
      <c r="C228" s="4" t="str">
        <f t="shared" ref="C228:C229" si="48">$I$22</f>
        <v>&gt;1m - &lt;2m</v>
      </c>
      <c r="D228" s="4" t="str">
        <f t="shared" ref="D228:D229" si="49">I136</f>
        <v>Helicopter - Assisted</v>
      </c>
      <c r="E228" s="4" t="str">
        <f>GullyGrip_Blocking_Installation_Costs[[#This Row],[Intervention Type]]&amp;GullyGrip_Blocking_Installation_Costs[[#This Row],[Dimensions]]&amp;GullyGrip_Blocking_Installation_Costs[[#This Row],[Installation ]]</f>
        <v>Plastic Piling&gt;1m - &lt;2mHelicopter - Assisted</v>
      </c>
      <c r="F228" s="66">
        <v>1.1934720000000003</v>
      </c>
    </row>
    <row r="229" spans="2:6">
      <c r="B229" s="4" t="str">
        <f t="shared" si="45"/>
        <v>Plastic Piling</v>
      </c>
      <c r="C229" s="4" t="str">
        <f t="shared" si="48"/>
        <v>&gt;1m - &lt;2m</v>
      </c>
      <c r="D229" s="4" t="str">
        <f t="shared" si="49"/>
        <v>Machine</v>
      </c>
      <c r="E229" s="4" t="str">
        <f>GullyGrip_Blocking_Installation_Costs[[#This Row],[Intervention Type]]&amp;GullyGrip_Blocking_Installation_Costs[[#This Row],[Dimensions]]&amp;GullyGrip_Blocking_Installation_Costs[[#This Row],[Installation ]]</f>
        <v>Plastic Piling&gt;1m - &lt;2mMachine</v>
      </c>
      <c r="F229" s="66">
        <v>0.62962308</v>
      </c>
    </row>
    <row r="230" spans="2:6">
      <c r="B230" s="4" t="str">
        <f t="shared" si="45"/>
        <v>Plastic Piling</v>
      </c>
      <c r="C230" s="4" t="str">
        <f>$I$23</f>
        <v>&gt;2m - &lt;3m</v>
      </c>
      <c r="D230" s="4" t="str">
        <f>I135</f>
        <v>Hand</v>
      </c>
      <c r="E230" s="4" t="str">
        <f>GullyGrip_Blocking_Installation_Costs[[#This Row],[Intervention Type]]&amp;GullyGrip_Blocking_Installation_Costs[[#This Row],[Dimensions]]&amp;GullyGrip_Blocking_Installation_Costs[[#This Row],[Installation ]]</f>
        <v>Plastic Piling&gt;2m - &lt;3mHand</v>
      </c>
      <c r="F230" s="66">
        <v>0</v>
      </c>
    </row>
    <row r="231" spans="2:6">
      <c r="B231" s="4" t="str">
        <f t="shared" si="45"/>
        <v>Plastic Piling</v>
      </c>
      <c r="C231" s="4" t="str">
        <f t="shared" ref="C231:C232" si="50">$I$23</f>
        <v>&gt;2m - &lt;3m</v>
      </c>
      <c r="D231" s="4" t="str">
        <f t="shared" ref="D231:D232" si="51">I136</f>
        <v>Helicopter - Assisted</v>
      </c>
      <c r="E231" s="4" t="str">
        <f>GullyGrip_Blocking_Installation_Costs[[#This Row],[Intervention Type]]&amp;GullyGrip_Blocking_Installation_Costs[[#This Row],[Dimensions]]&amp;GullyGrip_Blocking_Installation_Costs[[#This Row],[Installation ]]</f>
        <v>Plastic Piling&gt;2m - &lt;3mHelicopter - Assisted</v>
      </c>
      <c r="F231" s="66">
        <v>1.9811635200000002</v>
      </c>
    </row>
    <row r="232" spans="2:6">
      <c r="B232" s="4" t="str">
        <f t="shared" si="45"/>
        <v>Plastic Piling</v>
      </c>
      <c r="C232" s="4" t="str">
        <f t="shared" si="50"/>
        <v>&gt;2m - &lt;3m</v>
      </c>
      <c r="D232" s="4" t="str">
        <f t="shared" si="51"/>
        <v>Machine</v>
      </c>
      <c r="E232" s="4" t="str">
        <f>GullyGrip_Blocking_Installation_Costs[[#This Row],[Intervention Type]]&amp;GullyGrip_Blocking_Installation_Costs[[#This Row],[Dimensions]]&amp;GullyGrip_Blocking_Installation_Costs[[#This Row],[Installation ]]</f>
        <v>Plastic Piling&gt;2m - &lt;3mMachine</v>
      </c>
      <c r="F232" s="66">
        <v>1.0196682000000001</v>
      </c>
    </row>
    <row r="233" spans="2:6">
      <c r="B233" s="4" t="str">
        <f t="shared" si="45"/>
        <v>Plastic Piling</v>
      </c>
      <c r="C233" s="4" t="str">
        <f>$I$24</f>
        <v>&gt;3m - &lt;4m</v>
      </c>
      <c r="D233" s="4" t="str">
        <f>I135</f>
        <v>Hand</v>
      </c>
      <c r="E233" s="4" t="str">
        <f>GullyGrip_Blocking_Installation_Costs[[#This Row],[Intervention Type]]&amp;GullyGrip_Blocking_Installation_Costs[[#This Row],[Dimensions]]&amp;GullyGrip_Blocking_Installation_Costs[[#This Row],[Installation ]]</f>
        <v>Plastic Piling&gt;3m - &lt;4mHand</v>
      </c>
      <c r="F233" s="66">
        <v>0</v>
      </c>
    </row>
    <row r="234" spans="2:6">
      <c r="B234" s="4" t="str">
        <f t="shared" si="45"/>
        <v>Plastic Piling</v>
      </c>
      <c r="C234" s="4" t="str">
        <f t="shared" ref="C234:C235" si="52">$I$24</f>
        <v>&gt;3m - &lt;4m</v>
      </c>
      <c r="D234" s="4" t="str">
        <f t="shared" ref="D234:D235" si="53">I136</f>
        <v>Helicopter - Assisted</v>
      </c>
      <c r="E234" s="4" t="str">
        <f>GullyGrip_Blocking_Installation_Costs[[#This Row],[Intervention Type]]&amp;GullyGrip_Blocking_Installation_Costs[[#This Row],[Dimensions]]&amp;GullyGrip_Blocking_Installation_Costs[[#This Row],[Installation ]]</f>
        <v>Plastic Piling&gt;3m - &lt;4mHelicopter - Assisted</v>
      </c>
      <c r="F234" s="66">
        <v>2.7807897600000007</v>
      </c>
    </row>
    <row r="235" spans="2:6">
      <c r="B235" s="4" t="str">
        <f t="shared" si="45"/>
        <v>Plastic Piling</v>
      </c>
      <c r="C235" s="4" t="str">
        <f t="shared" si="52"/>
        <v>&gt;3m - &lt;4m</v>
      </c>
      <c r="D235" s="4" t="str">
        <f t="shared" si="53"/>
        <v>Machine</v>
      </c>
      <c r="E235" s="4" t="str">
        <f>GullyGrip_Blocking_Installation_Costs[[#This Row],[Intervention Type]]&amp;GullyGrip_Blocking_Installation_Costs[[#This Row],[Dimensions]]&amp;GullyGrip_Blocking_Installation_Costs[[#This Row],[Installation ]]</f>
        <v>Plastic Piling&gt;3m - &lt;4mMachine</v>
      </c>
      <c r="F235" s="66">
        <v>1.4097133199999998</v>
      </c>
    </row>
    <row r="236" spans="2:6">
      <c r="B236" s="4" t="str">
        <f t="shared" si="45"/>
        <v>Plastic Piling</v>
      </c>
      <c r="C236" s="4" t="str">
        <f>$I$25</f>
        <v>&gt;4m</v>
      </c>
      <c r="D236" s="4" t="str">
        <f>I135</f>
        <v>Hand</v>
      </c>
      <c r="E236" s="4" t="str">
        <f>GullyGrip_Blocking_Installation_Costs[[#This Row],[Intervention Type]]&amp;GullyGrip_Blocking_Installation_Costs[[#This Row],[Dimensions]]&amp;GullyGrip_Blocking_Installation_Costs[[#This Row],[Installation ]]</f>
        <v>Plastic Piling&gt;4mHand</v>
      </c>
      <c r="F236" s="66">
        <v>0</v>
      </c>
    </row>
    <row r="237" spans="2:6">
      <c r="B237" s="4" t="str">
        <f t="shared" si="45"/>
        <v>Plastic Piling</v>
      </c>
      <c r="C237" s="4" t="str">
        <f t="shared" ref="C237:C238" si="54">$I$25</f>
        <v>&gt;4m</v>
      </c>
      <c r="D237" s="4" t="str">
        <f t="shared" ref="D237:D238" si="55">I136</f>
        <v>Helicopter - Assisted</v>
      </c>
      <c r="E237" s="4" t="str">
        <f>GullyGrip_Blocking_Installation_Costs[[#This Row],[Intervention Type]]&amp;GullyGrip_Blocking_Installation_Costs[[#This Row],[Dimensions]]&amp;GullyGrip_Blocking_Installation_Costs[[#This Row],[Installation ]]</f>
        <v>Plastic Piling&gt;4mHelicopter - Assisted</v>
      </c>
      <c r="F237" s="66">
        <v>3.1746355200000007</v>
      </c>
    </row>
    <row r="238" spans="2:6">
      <c r="B238" s="4" t="str">
        <f t="shared" si="45"/>
        <v>Plastic Piling</v>
      </c>
      <c r="C238" s="4" t="str">
        <f t="shared" si="54"/>
        <v>&gt;4m</v>
      </c>
      <c r="D238" s="4" t="str">
        <f t="shared" si="55"/>
        <v>Machine</v>
      </c>
      <c r="E238" s="4" t="str">
        <f>GullyGrip_Blocking_Installation_Costs[[#This Row],[Intervention Type]]&amp;GullyGrip_Blocking_Installation_Costs[[#This Row],[Dimensions]]&amp;GullyGrip_Blocking_Installation_Costs[[#This Row],[Installation ]]</f>
        <v>Plastic Piling&gt;4mMachine</v>
      </c>
      <c r="F238" s="66">
        <v>1.6047358799999998</v>
      </c>
    </row>
    <row r="239" spans="2:6">
      <c r="B239" s="4" t="str">
        <f>$B$12</f>
        <v>Stone Dam</v>
      </c>
      <c r="C239" s="4" t="str">
        <f>$J$21</f>
        <v>&lt;1m (1 unit)</v>
      </c>
      <c r="D239" s="4" t="str">
        <f>J135</f>
        <v>Helicopter - Assisted</v>
      </c>
      <c r="E239" s="4" t="str">
        <f>GullyGrip_Blocking_Installation_Costs[[#This Row],[Intervention Type]]&amp;GullyGrip_Blocking_Installation_Costs[[#This Row],[Dimensions]]&amp;GullyGrip_Blocking_Installation_Costs[[#This Row],[Installation ]]</f>
        <v>Stone Dam&lt;1m (1 unit)Helicopter - Assisted</v>
      </c>
      <c r="F239" s="66">
        <v>59.673600000000008</v>
      </c>
    </row>
    <row r="240" spans="2:6">
      <c r="B240" s="4" t="str">
        <f t="shared" ref="B240:B246" si="56">$B$12</f>
        <v>Stone Dam</v>
      </c>
      <c r="C240" s="4" t="str">
        <f>$J$21</f>
        <v>&lt;1m (1 unit)</v>
      </c>
      <c r="D240" s="4" t="str">
        <f>J136</f>
        <v>Machine - Assisted</v>
      </c>
      <c r="E240" s="4" t="str">
        <f>GullyGrip_Blocking_Installation_Costs[[#This Row],[Intervention Type]]&amp;GullyGrip_Blocking_Installation_Costs[[#This Row],[Dimensions]]&amp;GullyGrip_Blocking_Installation_Costs[[#This Row],[Installation ]]</f>
        <v>Stone Dam&lt;1m (1 unit)Machine - Assisted</v>
      </c>
      <c r="F240" s="66">
        <v>3.6377364000000001</v>
      </c>
    </row>
    <row r="241" spans="2:6">
      <c r="B241" s="4" t="str">
        <f t="shared" si="56"/>
        <v>Stone Dam</v>
      </c>
      <c r="C241" s="4" t="str">
        <f>$J$22</f>
        <v>&gt;1m - &lt;2m (2 units)</v>
      </c>
      <c r="D241" s="4" t="str">
        <f>J135</f>
        <v>Helicopter - Assisted</v>
      </c>
      <c r="E241" s="4" t="str">
        <f>GullyGrip_Blocking_Installation_Costs[[#This Row],[Intervention Type]]&amp;GullyGrip_Blocking_Installation_Costs[[#This Row],[Dimensions]]&amp;GullyGrip_Blocking_Installation_Costs[[#This Row],[Installation ]]</f>
        <v>Stone Dam&gt;1m - &lt;2m (2 units)Helicopter - Assisted</v>
      </c>
      <c r="F241" s="66">
        <v>119.34720000000002</v>
      </c>
    </row>
    <row r="242" spans="2:6">
      <c r="B242" s="4" t="str">
        <f t="shared" si="56"/>
        <v>Stone Dam</v>
      </c>
      <c r="C242" s="4" t="str">
        <f>$J$22</f>
        <v>&gt;1m - &lt;2m (2 units)</v>
      </c>
      <c r="D242" s="4" t="str">
        <f>J136</f>
        <v>Machine - Assisted</v>
      </c>
      <c r="E242" s="4" t="str">
        <f>GullyGrip_Blocking_Installation_Costs[[#This Row],[Intervention Type]]&amp;GullyGrip_Blocking_Installation_Costs[[#This Row],[Dimensions]]&amp;GullyGrip_Blocking_Installation_Costs[[#This Row],[Installation ]]</f>
        <v>Stone Dam&gt;1m - &lt;2m (2 units)Machine - Assisted</v>
      </c>
      <c r="F242" s="66">
        <v>7.2295188000000001</v>
      </c>
    </row>
    <row r="243" spans="2:6">
      <c r="B243" s="4" t="str">
        <f t="shared" si="56"/>
        <v>Stone Dam</v>
      </c>
      <c r="C243" s="4" t="str">
        <f>$J$23</f>
        <v>&gt;2m - &lt;3m (3 units)</v>
      </c>
      <c r="D243" s="4" t="str">
        <f>J135</f>
        <v>Helicopter - Assisted</v>
      </c>
      <c r="E243" s="4" t="str">
        <f>GullyGrip_Blocking_Installation_Costs[[#This Row],[Intervention Type]]&amp;GullyGrip_Blocking_Installation_Costs[[#This Row],[Dimensions]]&amp;GullyGrip_Blocking_Installation_Costs[[#This Row],[Installation ]]</f>
        <v>Stone Dam&gt;2m - &lt;3m (3 units)Helicopter - Assisted</v>
      </c>
      <c r="F243" s="66">
        <v>179.02080000000001</v>
      </c>
    </row>
    <row r="244" spans="2:6">
      <c r="B244" s="4" t="str">
        <f t="shared" si="56"/>
        <v>Stone Dam</v>
      </c>
      <c r="C244" s="4" t="str">
        <f t="shared" ref="C244" si="57">$J$23</f>
        <v>&gt;2m - &lt;3m (3 units)</v>
      </c>
      <c r="D244" s="4" t="str">
        <f>J136</f>
        <v>Machine - Assisted</v>
      </c>
      <c r="E244" s="4" t="str">
        <f>GullyGrip_Blocking_Installation_Costs[[#This Row],[Intervention Type]]&amp;GullyGrip_Blocking_Installation_Costs[[#This Row],[Dimensions]]&amp;GullyGrip_Blocking_Installation_Costs[[#This Row],[Installation ]]</f>
        <v>Stone Dam&gt;2m - &lt;3m (3 units)Machine - Assisted</v>
      </c>
      <c r="F244" s="66">
        <v>10.821301200000001</v>
      </c>
    </row>
    <row r="245" spans="2:6">
      <c r="B245" s="4" t="str">
        <f t="shared" si="56"/>
        <v>Stone Dam</v>
      </c>
      <c r="C245" s="4" t="str">
        <f>$J$24</f>
        <v>&gt;3m - &lt;4m (4 units)</v>
      </c>
      <c r="D245" s="4" t="str">
        <f>J135</f>
        <v>Helicopter - Assisted</v>
      </c>
      <c r="E245" s="4" t="str">
        <f>GullyGrip_Blocking_Installation_Costs[[#This Row],[Intervention Type]]&amp;GullyGrip_Blocking_Installation_Costs[[#This Row],[Dimensions]]&amp;GullyGrip_Blocking_Installation_Costs[[#This Row],[Installation ]]</f>
        <v>Stone Dam&gt;3m - &lt;4m (4 units)Helicopter - Assisted</v>
      </c>
      <c r="F245" s="66">
        <v>238.69440000000003</v>
      </c>
    </row>
    <row r="246" spans="2:6">
      <c r="B246" s="4" t="str">
        <f t="shared" si="56"/>
        <v>Stone Dam</v>
      </c>
      <c r="C246" s="4" t="str">
        <f>$J$24</f>
        <v>&gt;3m - &lt;4m (4 units)</v>
      </c>
      <c r="D246" s="4" t="str">
        <f>J136</f>
        <v>Machine - Assisted</v>
      </c>
      <c r="E246" s="4" t="str">
        <f>GullyGrip_Blocking_Installation_Costs[[#This Row],[Intervention Type]]&amp;GullyGrip_Blocking_Installation_Costs[[#This Row],[Dimensions]]&amp;GullyGrip_Blocking_Installation_Costs[[#This Row],[Installation ]]</f>
        <v>Stone Dam&gt;3m - &lt;4m (4 units)Machine - Assisted</v>
      </c>
      <c r="F246" s="66">
        <v>14.4130836</v>
      </c>
    </row>
    <row r="247" spans="2:6">
      <c r="B247" s="4" t="str">
        <f>$B$13</f>
        <v>Timber Dam</v>
      </c>
      <c r="C247" s="4" t="str">
        <f>$K$21</f>
        <v>&lt;1m (2 planks)</v>
      </c>
      <c r="D247" s="4" t="str">
        <f>K135</f>
        <v>Hand</v>
      </c>
      <c r="E247" s="4" t="str">
        <f>GullyGrip_Blocking_Installation_Costs[[#This Row],[Intervention Type]]&amp;GullyGrip_Blocking_Installation_Costs[[#This Row],[Dimensions]]&amp;GullyGrip_Blocking_Installation_Costs[[#This Row],[Installation ]]</f>
        <v>Timber Dam&lt;1m (2 planks)Hand</v>
      </c>
      <c r="F247" s="65">
        <v>0</v>
      </c>
    </row>
    <row r="248" spans="2:6">
      <c r="B248" s="4" t="str">
        <f t="shared" ref="B248:B255" si="58">$B$13</f>
        <v>Timber Dam</v>
      </c>
      <c r="C248" s="4" t="str">
        <f t="shared" ref="C248:C249" si="59">$K$21</f>
        <v>&lt;1m (2 planks)</v>
      </c>
      <c r="D248" s="4" t="str">
        <f t="shared" ref="D248:D249" si="60">K136</f>
        <v>Helicopter - Assisted</v>
      </c>
      <c r="E248" s="4" t="str">
        <f>GullyGrip_Blocking_Installation_Costs[[#This Row],[Intervention Type]]&amp;GullyGrip_Blocking_Installation_Costs[[#This Row],[Dimensions]]&amp;GullyGrip_Blocking_Installation_Costs[[#This Row],[Installation ]]</f>
        <v>Timber Dam&lt;1m (2 planks)Helicopter - Assisted</v>
      </c>
      <c r="F248" s="65">
        <v>5.9673600000000011</v>
      </c>
    </row>
    <row r="249" spans="2:6">
      <c r="B249" s="4" t="str">
        <f t="shared" si="58"/>
        <v>Timber Dam</v>
      </c>
      <c r="C249" s="4" t="str">
        <f t="shared" si="59"/>
        <v>&lt;1m (2 planks)</v>
      </c>
      <c r="D249" s="4" t="str">
        <f t="shared" si="60"/>
        <v>Machine</v>
      </c>
      <c r="E249" s="4" t="str">
        <f>GullyGrip_Blocking_Installation_Costs[[#This Row],[Intervention Type]]&amp;GullyGrip_Blocking_Installation_Costs[[#This Row],[Dimensions]]&amp;GullyGrip_Blocking_Installation_Costs[[#This Row],[Installation ]]</f>
        <v>Timber Dam&lt;1m (2 planks)Machine</v>
      </c>
      <c r="F249" s="65">
        <v>0.77670397076999986</v>
      </c>
    </row>
    <row r="250" spans="2:6">
      <c r="B250" s="4" t="str">
        <f t="shared" si="58"/>
        <v>Timber Dam</v>
      </c>
      <c r="C250" s="4" t="str">
        <f>$K$22</f>
        <v>&gt;1m - &lt;2m (3 planks)</v>
      </c>
      <c r="D250" s="4" t="str">
        <f>K135</f>
        <v>Hand</v>
      </c>
      <c r="E250" s="4" t="str">
        <f>GullyGrip_Blocking_Installation_Costs[[#This Row],[Intervention Type]]&amp;GullyGrip_Blocking_Installation_Costs[[#This Row],[Dimensions]]&amp;GullyGrip_Blocking_Installation_Costs[[#This Row],[Installation ]]</f>
        <v>Timber Dam&gt;1m - &lt;2m (3 planks)Hand</v>
      </c>
      <c r="F250" s="65">
        <v>0</v>
      </c>
    </row>
    <row r="251" spans="2:6">
      <c r="B251" s="4" t="str">
        <f t="shared" si="58"/>
        <v>Timber Dam</v>
      </c>
      <c r="C251" s="4" t="str">
        <f t="shared" ref="C251:C252" si="61">$K$22</f>
        <v>&gt;1m - &lt;2m (3 planks)</v>
      </c>
      <c r="D251" s="4" t="str">
        <f t="shared" ref="D251:D252" si="62">K136</f>
        <v>Helicopter - Assisted</v>
      </c>
      <c r="E251" s="4" t="str">
        <f>GullyGrip_Blocking_Installation_Costs[[#This Row],[Intervention Type]]&amp;GullyGrip_Blocking_Installation_Costs[[#This Row],[Dimensions]]&amp;GullyGrip_Blocking_Installation_Costs[[#This Row],[Installation ]]</f>
        <v>Timber Dam&gt;1m - &lt;2m (3 planks)Helicopter - Assisted</v>
      </c>
      <c r="F251" s="65">
        <v>7.4592000000000009</v>
      </c>
    </row>
    <row r="252" spans="2:6">
      <c r="B252" s="4" t="str">
        <f t="shared" si="58"/>
        <v>Timber Dam</v>
      </c>
      <c r="C252" s="4" t="str">
        <f t="shared" si="61"/>
        <v>&gt;1m - &lt;2m (3 planks)</v>
      </c>
      <c r="D252" s="4" t="str">
        <f t="shared" si="62"/>
        <v>Machine</v>
      </c>
      <c r="E252" s="4" t="str">
        <f>GullyGrip_Blocking_Installation_Costs[[#This Row],[Intervention Type]]&amp;GullyGrip_Blocking_Installation_Costs[[#This Row],[Dimensions]]&amp;GullyGrip_Blocking_Installation_Costs[[#This Row],[Installation ]]</f>
        <v>Timber Dam&gt;1m - &lt;2m (3 planks)Machine</v>
      </c>
      <c r="F252" s="65">
        <v>0.9959289620009999</v>
      </c>
    </row>
    <row r="253" spans="2:6">
      <c r="B253" s="4" t="str">
        <f t="shared" si="58"/>
        <v>Timber Dam</v>
      </c>
      <c r="C253" s="4" t="str">
        <f>$K$23</f>
        <v>&gt;2m - &lt;3m (4 planks)</v>
      </c>
      <c r="D253" s="4" t="str">
        <f>K135</f>
        <v>Hand</v>
      </c>
      <c r="E253" s="4" t="str">
        <f>GullyGrip_Blocking_Installation_Costs[[#This Row],[Intervention Type]]&amp;GullyGrip_Blocking_Installation_Costs[[#This Row],[Dimensions]]&amp;GullyGrip_Blocking_Installation_Costs[[#This Row],[Installation ]]</f>
        <v>Timber Dam&gt;2m - &lt;3m (4 planks)Hand</v>
      </c>
      <c r="F253" s="65">
        <v>0</v>
      </c>
    </row>
    <row r="254" spans="2:6">
      <c r="B254" s="4" t="str">
        <f t="shared" si="58"/>
        <v>Timber Dam</v>
      </c>
      <c r="C254" s="4" t="str">
        <f t="shared" ref="C254:C255" si="63">$K$23</f>
        <v>&gt;2m - &lt;3m (4 planks)</v>
      </c>
      <c r="D254" s="4" t="str">
        <f t="shared" ref="D254:D255" si="64">K136</f>
        <v>Helicopter - Assisted</v>
      </c>
      <c r="E254" s="4" t="str">
        <f>GullyGrip_Blocking_Installation_Costs[[#This Row],[Intervention Type]]&amp;GullyGrip_Blocking_Installation_Costs[[#This Row],[Dimensions]]&amp;GullyGrip_Blocking_Installation_Costs[[#This Row],[Installation ]]</f>
        <v>Timber Dam&gt;2m - &lt;3m (4 planks)Helicopter - Assisted</v>
      </c>
      <c r="F254" s="65">
        <v>8.9510400000000025</v>
      </c>
    </row>
    <row r="255" spans="2:6">
      <c r="B255" s="4" t="str">
        <f t="shared" si="58"/>
        <v>Timber Dam</v>
      </c>
      <c r="C255" s="4" t="str">
        <f t="shared" si="63"/>
        <v>&gt;2m - &lt;3m (4 planks)</v>
      </c>
      <c r="D255" s="4" t="str">
        <f t="shared" si="64"/>
        <v>Machine</v>
      </c>
      <c r="E255" s="4" t="str">
        <f>GullyGrip_Blocking_Installation_Costs[[#This Row],[Intervention Type]]&amp;GullyGrip_Blocking_Installation_Costs[[#This Row],[Dimensions]]&amp;GullyGrip_Blocking_Installation_Costs[[#This Row],[Installation ]]</f>
        <v>Timber Dam&gt;2m - &lt;3m (4 planks)Machine</v>
      </c>
      <c r="F255" s="65">
        <v>1.2151539532319999</v>
      </c>
    </row>
    <row r="256" spans="2:6">
      <c r="B256" s="4"/>
      <c r="C256" s="4"/>
      <c r="D256" s="4"/>
      <c r="E256" s="4"/>
      <c r="F256" s="27"/>
    </row>
    <row r="257" spans="2:6">
      <c r="B257" s="4"/>
      <c r="C257" s="4"/>
      <c r="D257" s="4"/>
      <c r="E257" s="4"/>
      <c r="F257" s="27"/>
    </row>
    <row r="258" spans="2:6">
      <c r="B258" s="4"/>
      <c r="C258" s="4"/>
      <c r="D258" s="4"/>
      <c r="E258" s="4"/>
      <c r="F258" s="27"/>
    </row>
    <row r="259" spans="2:6">
      <c r="B259" s="4"/>
      <c r="C259" s="4"/>
      <c r="D259" s="4"/>
      <c r="E259" s="4"/>
      <c r="F259" s="27"/>
    </row>
    <row r="260" spans="2:6">
      <c r="B260" s="4"/>
      <c r="C260" s="4"/>
      <c r="D260" s="4"/>
      <c r="E260" s="4"/>
      <c r="F260" s="27"/>
    </row>
  </sheetData>
  <sheetProtection algorithmName="SHA-512" hashValue="2bYzCVbFSXsIBaJSdXNI5tyOdw2sAikloG57zvWf9xpI5i4fw6VdEyMXeqLfDNSV77AkB8aszfiiqix/MCvP7g==" saltValue="S377WYNxT564V5DgbvrX+A==" spinCount="100000" sheet="1" objects="1" scenarios="1" selectLockedCells="1" selectUnlockedCells="1"/>
  <sortState xmlns:xlrd2="http://schemas.microsoft.com/office/spreadsheetml/2017/richdata2" ref="B4:B13">
    <sortCondition ref="B3:B13"/>
  </sortState>
  <phoneticPr fontId="3" type="noConversion"/>
  <pageMargins left="0.7" right="0.7" top="0.75" bottom="0.75" header="0.3" footer="0.3"/>
  <pageSetup paperSize="9" orientation="portrait" r:id="rId1"/>
  <ignoredErrors>
    <ignoredError sqref="C92" formula="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171B-F8C8-416B-A011-35C1DCA397C6}">
  <dimension ref="B2:Q293"/>
  <sheetViews>
    <sheetView zoomScale="85" zoomScaleNormal="85" workbookViewId="0">
      <selection sqref="A1:XFD1048576"/>
    </sheetView>
  </sheetViews>
  <sheetFormatPr defaultRowHeight="14.45"/>
  <cols>
    <col min="2" max="2" width="29.28515625" bestFit="1" customWidth="1"/>
    <col min="3" max="3" width="20.7109375" bestFit="1" customWidth="1"/>
    <col min="4" max="4" width="39.85546875" bestFit="1" customWidth="1"/>
    <col min="5" max="5" width="48.140625" customWidth="1"/>
    <col min="6" max="6" width="39.85546875" bestFit="1" customWidth="1"/>
    <col min="7" max="7" width="24" bestFit="1" customWidth="1"/>
    <col min="8" max="8" width="27" bestFit="1" customWidth="1"/>
    <col min="9" max="9" width="14.7109375" bestFit="1" customWidth="1"/>
    <col min="10" max="10" width="17.28515625" bestFit="1" customWidth="1"/>
    <col min="11" max="11" width="16.5703125" bestFit="1" customWidth="1"/>
  </cols>
  <sheetData>
    <row r="2" spans="2:17">
      <c r="B2" s="1" t="s">
        <v>287</v>
      </c>
      <c r="K2" s="55"/>
      <c r="L2" s="43"/>
      <c r="M2" s="55"/>
      <c r="N2" s="55"/>
      <c r="O2" s="43"/>
      <c r="P2" s="55"/>
      <c r="Q2" s="55"/>
    </row>
    <row r="3" spans="2:17">
      <c r="B3" s="8" t="s">
        <v>288</v>
      </c>
    </row>
    <row r="4" spans="2:17">
      <c r="B4" s="34" t="s">
        <v>244</v>
      </c>
    </row>
    <row r="5" spans="2:17">
      <c r="B5" s="33" t="s">
        <v>249</v>
      </c>
    </row>
    <row r="6" spans="2:17">
      <c r="B6" s="34" t="s">
        <v>314</v>
      </c>
    </row>
    <row r="7" spans="2:17">
      <c r="B7" s="99" t="s">
        <v>315</v>
      </c>
    </row>
    <row r="8" spans="2:17">
      <c r="B8" s="98" t="s">
        <v>316</v>
      </c>
    </row>
    <row r="9" spans="2:17">
      <c r="B9" s="33" t="s">
        <v>317</v>
      </c>
    </row>
    <row r="10" spans="2:17">
      <c r="B10" s="34" t="s">
        <v>318</v>
      </c>
    </row>
    <row r="11" spans="2:17">
      <c r="B11" s="33" t="s">
        <v>319</v>
      </c>
    </row>
    <row r="12" spans="2:17">
      <c r="B12" s="34" t="s">
        <v>320</v>
      </c>
    </row>
    <row r="13" spans="2:17">
      <c r="B13" s="54" t="s">
        <v>321</v>
      </c>
    </row>
    <row r="19" spans="2:11">
      <c r="B19" s="1" t="s">
        <v>295</v>
      </c>
    </row>
    <row r="20" spans="2:11">
      <c r="B20" s="12" t="s">
        <v>244</v>
      </c>
      <c r="C20" s="20" t="s">
        <v>249</v>
      </c>
      <c r="D20" s="20" t="s">
        <v>314</v>
      </c>
      <c r="E20" s="20" t="s">
        <v>315</v>
      </c>
      <c r="F20" s="20" t="s">
        <v>316</v>
      </c>
      <c r="G20" s="20" t="s">
        <v>317</v>
      </c>
      <c r="H20" s="20" t="s">
        <v>318</v>
      </c>
      <c r="I20" s="20" t="s">
        <v>319</v>
      </c>
      <c r="J20" s="20" t="s">
        <v>320</v>
      </c>
      <c r="K20" s="13" t="s">
        <v>321</v>
      </c>
    </row>
    <row r="21" spans="2:11">
      <c r="B21" s="35" t="s">
        <v>222</v>
      </c>
      <c r="C21" s="35" t="s">
        <v>222</v>
      </c>
      <c r="D21" s="40" t="s">
        <v>222</v>
      </c>
      <c r="E21" s="40" t="s">
        <v>222</v>
      </c>
      <c r="F21" s="35" t="s">
        <v>322</v>
      </c>
      <c r="G21" s="40" t="s">
        <v>222</v>
      </c>
      <c r="H21" s="40" t="s">
        <v>222</v>
      </c>
      <c r="I21" s="40" t="s">
        <v>222</v>
      </c>
      <c r="J21" s="40" t="s">
        <v>222</v>
      </c>
      <c r="K21" s="42" t="s">
        <v>222</v>
      </c>
    </row>
    <row r="22" spans="2:11">
      <c r="B22" s="38" t="s">
        <v>202</v>
      </c>
      <c r="C22" s="38" t="s">
        <v>202</v>
      </c>
      <c r="D22" s="29" t="s">
        <v>202</v>
      </c>
      <c r="E22" s="29" t="s">
        <v>202</v>
      </c>
      <c r="F22" s="38" t="s">
        <v>323</v>
      </c>
      <c r="G22" s="29" t="s">
        <v>202</v>
      </c>
      <c r="H22" s="29" t="s">
        <v>202</v>
      </c>
      <c r="I22" s="29"/>
      <c r="J22" s="29" t="s">
        <v>202</v>
      </c>
      <c r="K22" s="31" t="s">
        <v>202</v>
      </c>
    </row>
    <row r="23" spans="2:11">
      <c r="B23" s="35" t="s">
        <v>299</v>
      </c>
      <c r="C23" s="35" t="s">
        <v>299</v>
      </c>
      <c r="D23" s="40" t="s">
        <v>299</v>
      </c>
      <c r="E23" s="40" t="s">
        <v>299</v>
      </c>
      <c r="F23" s="35" t="s">
        <v>324</v>
      </c>
      <c r="G23" s="40" t="s">
        <v>299</v>
      </c>
      <c r="H23" s="40" t="s">
        <v>299</v>
      </c>
      <c r="I23" s="40"/>
      <c r="J23" s="40" t="s">
        <v>299</v>
      </c>
      <c r="K23" s="42" t="s">
        <v>299</v>
      </c>
    </row>
    <row r="24" spans="2:11">
      <c r="B24" s="38" t="s">
        <v>301</v>
      </c>
      <c r="C24" s="38" t="s">
        <v>301</v>
      </c>
      <c r="D24" s="29" t="s">
        <v>301</v>
      </c>
      <c r="E24" s="29" t="s">
        <v>301</v>
      </c>
      <c r="F24" s="38"/>
      <c r="G24" s="29" t="s">
        <v>301</v>
      </c>
      <c r="H24" s="29" t="s">
        <v>301</v>
      </c>
      <c r="I24" s="29"/>
      <c r="J24" s="29" t="s">
        <v>301</v>
      </c>
      <c r="K24" s="31" t="s">
        <v>301</v>
      </c>
    </row>
    <row r="25" spans="2:11">
      <c r="B25" s="35" t="s">
        <v>303</v>
      </c>
      <c r="C25" s="35" t="s">
        <v>303</v>
      </c>
      <c r="D25" s="40" t="s">
        <v>325</v>
      </c>
      <c r="E25" s="40" t="s">
        <v>325</v>
      </c>
      <c r="F25" s="35"/>
      <c r="G25" s="40" t="s">
        <v>325</v>
      </c>
      <c r="H25" s="40" t="s">
        <v>325</v>
      </c>
      <c r="I25" s="40"/>
      <c r="J25" s="40" t="s">
        <v>325</v>
      </c>
      <c r="K25" s="42" t="s">
        <v>325</v>
      </c>
    </row>
    <row r="26" spans="2:11">
      <c r="B26" s="38"/>
      <c r="C26" s="29"/>
      <c r="D26" s="29" t="s">
        <v>326</v>
      </c>
      <c r="E26" s="29" t="s">
        <v>326</v>
      </c>
      <c r="F26" s="38"/>
      <c r="G26" s="29" t="s">
        <v>326</v>
      </c>
      <c r="H26" s="29" t="s">
        <v>326</v>
      </c>
      <c r="I26" s="29"/>
      <c r="J26" s="29" t="s">
        <v>326</v>
      </c>
      <c r="K26" s="31" t="s">
        <v>326</v>
      </c>
    </row>
    <row r="27" spans="2:11">
      <c r="B27" s="28"/>
      <c r="C27" s="7"/>
      <c r="D27" s="7" t="s">
        <v>327</v>
      </c>
      <c r="E27" s="7" t="s">
        <v>327</v>
      </c>
      <c r="F27" s="28"/>
      <c r="G27" s="7" t="s">
        <v>327</v>
      </c>
      <c r="H27" s="7" t="s">
        <v>327</v>
      </c>
      <c r="I27" s="7"/>
      <c r="J27" s="7" t="s">
        <v>327</v>
      </c>
      <c r="K27" s="30" t="s">
        <v>327</v>
      </c>
    </row>
    <row r="33" spans="2:8">
      <c r="B33" s="1" t="s">
        <v>304</v>
      </c>
    </row>
    <row r="34" spans="2:8">
      <c r="B34" s="5" t="s">
        <v>288</v>
      </c>
      <c r="C34" s="5" t="s">
        <v>116</v>
      </c>
      <c r="D34" s="5" t="s">
        <v>118</v>
      </c>
      <c r="E34" s="5" t="s">
        <v>305</v>
      </c>
      <c r="F34" s="69" t="s">
        <v>118</v>
      </c>
      <c r="G34" s="69" t="s">
        <v>305</v>
      </c>
      <c r="H34" s="69" t="s">
        <v>306</v>
      </c>
    </row>
    <row r="35" spans="2:8">
      <c r="B35" s="3" t="str">
        <f>$B$4</f>
        <v>Coir Log</v>
      </c>
      <c r="C35" s="3" t="str">
        <f>B21</f>
        <v>&lt;1m</v>
      </c>
      <c r="D35" s="3" t="str">
        <f t="shared" ref="D35:D66" si="0">B35&amp;C35</f>
        <v>Coir Log&lt;1m</v>
      </c>
      <c r="E35" s="16">
        <f>0.66*E36</f>
        <v>5.8046907599999997</v>
      </c>
      <c r="F35" s="70" t="str">
        <f>Bunding_Raw_Material_Costs[[#This Row],[LOOKUP]]</f>
        <v>Coir Log&lt;1m</v>
      </c>
      <c r="G35" s="60">
        <v>0</v>
      </c>
      <c r="H35" s="60">
        <v>0</v>
      </c>
    </row>
    <row r="36" spans="2:8">
      <c r="B36" s="3" t="str">
        <f>$B$4</f>
        <v>Coir Log</v>
      </c>
      <c r="C36" s="3" t="str">
        <f>B22</f>
        <v>&gt;1m - &lt;2m</v>
      </c>
      <c r="D36" s="3" t="str">
        <f t="shared" si="0"/>
        <v>Coir Log&gt;1m - &lt;2m</v>
      </c>
      <c r="E36" s="16">
        <v>8.7949859999999997</v>
      </c>
      <c r="F36" s="100" t="str">
        <f>Bunding_Raw_Material_Costs[[#This Row],[LOOKUP]]</f>
        <v>Coir Log&gt;1m - &lt;2m</v>
      </c>
      <c r="G36" s="59">
        <v>0</v>
      </c>
      <c r="H36" s="59">
        <v>0</v>
      </c>
    </row>
    <row r="37" spans="2:8">
      <c r="B37" s="3" t="str">
        <f>$B$4</f>
        <v>Coir Log</v>
      </c>
      <c r="C37" s="3" t="str">
        <f>B23</f>
        <v>&gt;2m - &lt;3m</v>
      </c>
      <c r="D37" s="3" t="str">
        <f t="shared" si="0"/>
        <v>Coir Log&gt;2m - &lt;3m</v>
      </c>
      <c r="E37" s="16">
        <f>E35*1.66</f>
        <v>9.6357866615999992</v>
      </c>
      <c r="F37" s="70" t="str">
        <f>Bunding_Raw_Material_Costs[[#This Row],[LOOKUP]]</f>
        <v>Coir Log&gt;2m - &lt;3m</v>
      </c>
      <c r="G37" s="60">
        <v>0</v>
      </c>
      <c r="H37" s="60">
        <v>0</v>
      </c>
    </row>
    <row r="38" spans="2:8">
      <c r="B38" s="3" t="str">
        <f>$B$4</f>
        <v>Coir Log</v>
      </c>
      <c r="C38" s="3" t="str">
        <f>B24</f>
        <v>&gt;3m - &lt;4m</v>
      </c>
      <c r="D38" s="3" t="str">
        <f t="shared" si="0"/>
        <v>Coir Log&gt;3m - &lt;4m</v>
      </c>
      <c r="E38" s="16">
        <f>E35*2.33</f>
        <v>13.5249294708</v>
      </c>
      <c r="F38" s="100" t="str">
        <f>Bunding_Raw_Material_Costs[[#This Row],[LOOKUP]]</f>
        <v>Coir Log&gt;3m - &lt;4m</v>
      </c>
      <c r="G38" s="59">
        <v>0</v>
      </c>
      <c r="H38" s="59">
        <v>0</v>
      </c>
    </row>
    <row r="39" spans="2:8">
      <c r="B39" s="3" t="str">
        <f>$B$4</f>
        <v>Coir Log</v>
      </c>
      <c r="C39" s="3" t="str">
        <f>B25</f>
        <v>&gt;4m</v>
      </c>
      <c r="D39" s="3" t="str">
        <f t="shared" si="0"/>
        <v>Coir Log&gt;4m</v>
      </c>
      <c r="E39" s="16">
        <f>E35*2.66</f>
        <v>15.440477421600001</v>
      </c>
      <c r="F39" s="70" t="str">
        <f>Bunding_Raw_Material_Costs[[#This Row],[LOOKUP]]</f>
        <v>Coir Log&gt;4m</v>
      </c>
      <c r="G39" s="60">
        <v>0</v>
      </c>
      <c r="H39" s="60">
        <v>0</v>
      </c>
    </row>
    <row r="40" spans="2:8">
      <c r="B40" s="3" t="str">
        <f>$B$5</f>
        <v>Heather Bale Bund</v>
      </c>
      <c r="C40" s="3" t="str">
        <f>C21</f>
        <v>&lt;1m</v>
      </c>
      <c r="D40" s="3" t="str">
        <f t="shared" si="0"/>
        <v>Heather Bale Bund&lt;1m</v>
      </c>
      <c r="E40" s="16">
        <f>0.66*E41</f>
        <v>0.5544</v>
      </c>
      <c r="F40" s="100" t="str">
        <f>Bunding_Raw_Material_Costs[[#This Row],[LOOKUP]]</f>
        <v>Heather Bale Bund&lt;1m</v>
      </c>
      <c r="G40" s="59">
        <f>0.66*G41</f>
        <v>0.15838404384000002</v>
      </c>
      <c r="H40" s="59">
        <v>500</v>
      </c>
    </row>
    <row r="41" spans="2:8">
      <c r="B41" s="3" t="str">
        <f>$B$5</f>
        <v>Heather Bale Bund</v>
      </c>
      <c r="C41" s="3" t="str">
        <f>C22</f>
        <v>&gt;1m - &lt;2m</v>
      </c>
      <c r="D41" s="3" t="str">
        <f t="shared" si="0"/>
        <v>Heather Bale Bund&gt;1m - &lt;2m</v>
      </c>
      <c r="E41" s="16">
        <f>'GullyGrip Blocking Data'!E41</f>
        <v>0.84</v>
      </c>
      <c r="F41" s="70" t="str">
        <f>Bunding_Raw_Material_Costs[[#This Row],[LOOKUP]]</f>
        <v>Heather Bale Bund&gt;1m - &lt;2m</v>
      </c>
      <c r="G41" s="60">
        <f>'GullyGrip Blocking Data'!G41</f>
        <v>0.239975824</v>
      </c>
      <c r="H41" s="60">
        <f>'GullyGrip Blocking Data'!H41</f>
        <v>425</v>
      </c>
    </row>
    <row r="42" spans="2:8">
      <c r="B42" s="3" t="str">
        <f>$B$5</f>
        <v>Heather Bale Bund</v>
      </c>
      <c r="C42" s="3" t="str">
        <f>C23</f>
        <v>&gt;2m - &lt;3m</v>
      </c>
      <c r="D42" s="3" t="str">
        <f t="shared" si="0"/>
        <v>Heather Bale Bund&gt;2m - &lt;3m</v>
      </c>
      <c r="E42" s="16">
        <f>'GullyGrip Blocking Data'!E42</f>
        <v>1.26</v>
      </c>
      <c r="F42" s="100" t="str">
        <f>Bunding_Raw_Material_Costs[[#This Row],[LOOKUP]]</f>
        <v>Heather Bale Bund&gt;2m - &lt;3m</v>
      </c>
      <c r="G42" s="59">
        <f>'GullyGrip Blocking Data'!G42</f>
        <v>0.36032406006006007</v>
      </c>
      <c r="H42" s="59">
        <f>'GullyGrip Blocking Data'!H42</f>
        <v>283</v>
      </c>
    </row>
    <row r="43" spans="2:8">
      <c r="B43" s="3" t="str">
        <f>$B$5</f>
        <v>Heather Bale Bund</v>
      </c>
      <c r="C43" s="3" t="str">
        <f>C24</f>
        <v>&gt;3m - &lt;4m</v>
      </c>
      <c r="D43" s="3" t="str">
        <f t="shared" si="0"/>
        <v>Heather Bale Bund&gt;3m - &lt;4m</v>
      </c>
      <c r="E43" s="16">
        <f>'GullyGrip Blocking Data'!E43</f>
        <v>1.68</v>
      </c>
      <c r="F43" s="70" t="str">
        <f>Bunding_Raw_Material_Costs[[#This Row],[LOOKUP]]</f>
        <v>Heather Bale Bund&gt;3m - &lt;4m</v>
      </c>
      <c r="G43" s="60">
        <f>'GullyGrip Blocking Data'!G43</f>
        <v>0.47995164800000001</v>
      </c>
      <c r="H43" s="60">
        <f>'GullyGrip Blocking Data'!H43</f>
        <v>213</v>
      </c>
    </row>
    <row r="44" spans="2:8">
      <c r="B44" s="3" t="str">
        <f>$B$5</f>
        <v>Heather Bale Bund</v>
      </c>
      <c r="C44" s="3" t="str">
        <f>C25</f>
        <v>&gt;4m</v>
      </c>
      <c r="D44" s="3" t="str">
        <f t="shared" si="0"/>
        <v>Heather Bale Bund&gt;4m</v>
      </c>
      <c r="E44" s="16">
        <f>'GullyGrip Blocking Data'!E44</f>
        <v>2.1</v>
      </c>
      <c r="F44" s="100" t="str">
        <f>Bunding_Raw_Material_Costs[[#This Row],[LOOKUP]]</f>
        <v>Heather Bale Bund&gt;4m</v>
      </c>
      <c r="G44" s="59">
        <f>'GullyGrip Blocking Data'!G44</f>
        <v>0.59993956000000004</v>
      </c>
      <c r="H44" s="59">
        <f>'GullyGrip Blocking Data'!H44</f>
        <v>170</v>
      </c>
    </row>
    <row r="45" spans="2:8">
      <c r="B45" s="3" t="s">
        <v>314</v>
      </c>
      <c r="C45" s="3" t="str">
        <f>D21</f>
        <v>&lt;1m</v>
      </c>
      <c r="D45" s="3" t="str">
        <f t="shared" si="0"/>
        <v>Peat Arc Bund&lt;1m</v>
      </c>
      <c r="E45" s="44">
        <v>0</v>
      </c>
      <c r="F45" s="70" t="str">
        <f>Bunding_Raw_Material_Costs[[#This Row],[LOOKUP]]</f>
        <v>Peat Arc Bund&lt;1m</v>
      </c>
      <c r="G45" s="60">
        <v>0</v>
      </c>
      <c r="H45" s="60">
        <v>0</v>
      </c>
    </row>
    <row r="46" spans="2:8">
      <c r="B46" s="3" t="s">
        <v>314</v>
      </c>
      <c r="C46" s="3" t="str">
        <f t="shared" ref="C46:C51" si="1">D22</f>
        <v>&gt;1m - &lt;2m</v>
      </c>
      <c r="D46" s="3" t="str">
        <f t="shared" si="0"/>
        <v>Peat Arc Bund&gt;1m - &lt;2m</v>
      </c>
      <c r="E46" s="44">
        <v>0</v>
      </c>
      <c r="F46" s="100" t="str">
        <f>Bunding_Raw_Material_Costs[[#This Row],[LOOKUP]]</f>
        <v>Peat Arc Bund&gt;1m - &lt;2m</v>
      </c>
      <c r="G46" s="59">
        <v>0</v>
      </c>
      <c r="H46" s="59">
        <v>0</v>
      </c>
    </row>
    <row r="47" spans="2:8">
      <c r="B47" s="3" t="s">
        <v>314</v>
      </c>
      <c r="C47" s="3" t="str">
        <f t="shared" si="1"/>
        <v>&gt;2m - &lt;3m</v>
      </c>
      <c r="D47" s="3" t="str">
        <f t="shared" si="0"/>
        <v>Peat Arc Bund&gt;2m - &lt;3m</v>
      </c>
      <c r="E47" s="44">
        <v>0</v>
      </c>
      <c r="F47" s="70" t="str">
        <f>Bunding_Raw_Material_Costs[[#This Row],[LOOKUP]]</f>
        <v>Peat Arc Bund&gt;2m - &lt;3m</v>
      </c>
      <c r="G47" s="60">
        <v>0</v>
      </c>
      <c r="H47" s="60">
        <v>0</v>
      </c>
    </row>
    <row r="48" spans="2:8">
      <c r="B48" s="3" t="s">
        <v>314</v>
      </c>
      <c r="C48" s="3" t="str">
        <f t="shared" si="1"/>
        <v>&gt;3m - &lt;4m</v>
      </c>
      <c r="D48" s="3" t="str">
        <f t="shared" si="0"/>
        <v>Peat Arc Bund&gt;3m - &lt;4m</v>
      </c>
      <c r="E48" s="44">
        <v>0</v>
      </c>
      <c r="F48" s="100" t="str">
        <f>Bunding_Raw_Material_Costs[[#This Row],[LOOKUP]]</f>
        <v>Peat Arc Bund&gt;3m - &lt;4m</v>
      </c>
      <c r="G48" s="59">
        <v>0</v>
      </c>
      <c r="H48" s="59">
        <v>0</v>
      </c>
    </row>
    <row r="49" spans="2:8">
      <c r="B49" s="3" t="s">
        <v>314</v>
      </c>
      <c r="C49" s="3" t="str">
        <f t="shared" si="1"/>
        <v>&gt;4m - &lt;5m</v>
      </c>
      <c r="D49" s="3" t="str">
        <f t="shared" si="0"/>
        <v>Peat Arc Bund&gt;4m - &lt;5m</v>
      </c>
      <c r="E49" s="44">
        <v>0</v>
      </c>
      <c r="F49" s="70" t="str">
        <f>Bunding_Raw_Material_Costs[[#This Row],[LOOKUP]]</f>
        <v>Peat Arc Bund&gt;4m - &lt;5m</v>
      </c>
      <c r="G49" s="60">
        <v>0</v>
      </c>
      <c r="H49" s="60">
        <v>0</v>
      </c>
    </row>
    <row r="50" spans="2:8">
      <c r="B50" s="3" t="s">
        <v>314</v>
      </c>
      <c r="C50" s="3" t="str">
        <f t="shared" si="1"/>
        <v>&gt;5m - &lt;10m</v>
      </c>
      <c r="D50" s="3" t="str">
        <f t="shared" si="0"/>
        <v>Peat Arc Bund&gt;5m - &lt;10m</v>
      </c>
      <c r="E50" s="44">
        <v>0</v>
      </c>
      <c r="F50" s="100" t="str">
        <f>Bunding_Raw_Material_Costs[[#This Row],[LOOKUP]]</f>
        <v>Peat Arc Bund&gt;5m - &lt;10m</v>
      </c>
      <c r="G50" s="59">
        <v>0</v>
      </c>
      <c r="H50" s="59">
        <v>0</v>
      </c>
    </row>
    <row r="51" spans="2:8">
      <c r="B51" t="s">
        <v>314</v>
      </c>
      <c r="C51" s="3" t="str">
        <f t="shared" si="1"/>
        <v>&gt;10m</v>
      </c>
      <c r="D51" t="str">
        <f t="shared" si="0"/>
        <v>Peat Arc Bund&gt;10m</v>
      </c>
      <c r="E51" s="16">
        <v>0</v>
      </c>
      <c r="F51" s="70" t="str">
        <f>Bunding_Raw_Material_Costs[[#This Row],[LOOKUP]]</f>
        <v>Peat Arc Bund&gt;10m</v>
      </c>
      <c r="G51" s="60">
        <v>0</v>
      </c>
      <c r="H51" s="60">
        <v>0</v>
      </c>
    </row>
    <row r="52" spans="2:8">
      <c r="B52" s="3" t="str">
        <f t="shared" ref="B52:B58" si="2">$B$7</f>
        <v>Peat Bund (Gully/Drain/Deep)</v>
      </c>
      <c r="C52" s="3" t="str">
        <f>E21</f>
        <v>&lt;1m</v>
      </c>
      <c r="D52" s="3" t="str">
        <f t="shared" si="0"/>
        <v>Peat Bund (Gully/Drain/Deep)&lt;1m</v>
      </c>
      <c r="E52" s="44">
        <v>0</v>
      </c>
      <c r="F52" s="100" t="str">
        <f>Bunding_Raw_Material_Costs[[#This Row],[LOOKUP]]</f>
        <v>Peat Bund (Gully/Drain/Deep)&lt;1m</v>
      </c>
      <c r="G52" s="59">
        <v>0</v>
      </c>
      <c r="H52" s="59">
        <v>0</v>
      </c>
    </row>
    <row r="53" spans="2:8">
      <c r="B53" s="3" t="str">
        <f t="shared" si="2"/>
        <v>Peat Bund (Gully/Drain/Deep)</v>
      </c>
      <c r="C53" s="3" t="str">
        <f t="shared" ref="C53:C58" si="3">E22</f>
        <v>&gt;1m - &lt;2m</v>
      </c>
      <c r="D53" s="3" t="str">
        <f t="shared" si="0"/>
        <v>Peat Bund (Gully/Drain/Deep)&gt;1m - &lt;2m</v>
      </c>
      <c r="E53" s="44">
        <v>0</v>
      </c>
      <c r="F53" s="70" t="str">
        <f>Bunding_Raw_Material_Costs[[#This Row],[LOOKUP]]</f>
        <v>Peat Bund (Gully/Drain/Deep)&gt;1m - &lt;2m</v>
      </c>
      <c r="G53" s="60">
        <v>0</v>
      </c>
      <c r="H53" s="60">
        <v>0</v>
      </c>
    </row>
    <row r="54" spans="2:8">
      <c r="B54" s="3" t="str">
        <f t="shared" si="2"/>
        <v>Peat Bund (Gully/Drain/Deep)</v>
      </c>
      <c r="C54" s="3" t="str">
        <f t="shared" si="3"/>
        <v>&gt;2m - &lt;3m</v>
      </c>
      <c r="D54" s="3" t="str">
        <f t="shared" si="0"/>
        <v>Peat Bund (Gully/Drain/Deep)&gt;2m - &lt;3m</v>
      </c>
      <c r="E54" s="44">
        <v>0</v>
      </c>
      <c r="F54" s="100" t="str">
        <f>Bunding_Raw_Material_Costs[[#This Row],[LOOKUP]]</f>
        <v>Peat Bund (Gully/Drain/Deep)&gt;2m - &lt;3m</v>
      </c>
      <c r="G54" s="59">
        <v>0</v>
      </c>
      <c r="H54" s="59">
        <v>0</v>
      </c>
    </row>
    <row r="55" spans="2:8">
      <c r="B55" s="3" t="str">
        <f t="shared" si="2"/>
        <v>Peat Bund (Gully/Drain/Deep)</v>
      </c>
      <c r="C55" s="3" t="str">
        <f t="shared" si="3"/>
        <v>&gt;3m - &lt;4m</v>
      </c>
      <c r="D55" s="3" t="str">
        <f t="shared" si="0"/>
        <v>Peat Bund (Gully/Drain/Deep)&gt;3m - &lt;4m</v>
      </c>
      <c r="E55" s="44">
        <v>0</v>
      </c>
      <c r="F55" s="70" t="str">
        <f>Bunding_Raw_Material_Costs[[#This Row],[LOOKUP]]</f>
        <v>Peat Bund (Gully/Drain/Deep)&gt;3m - &lt;4m</v>
      </c>
      <c r="G55" s="60">
        <v>0</v>
      </c>
      <c r="H55" s="60">
        <v>0</v>
      </c>
    </row>
    <row r="56" spans="2:8">
      <c r="B56" s="3" t="str">
        <f t="shared" si="2"/>
        <v>Peat Bund (Gully/Drain/Deep)</v>
      </c>
      <c r="C56" s="3" t="str">
        <f t="shared" si="3"/>
        <v>&gt;4m - &lt;5m</v>
      </c>
      <c r="D56" s="3" t="str">
        <f t="shared" si="0"/>
        <v>Peat Bund (Gully/Drain/Deep)&gt;4m - &lt;5m</v>
      </c>
      <c r="E56" s="44">
        <v>0</v>
      </c>
      <c r="F56" s="100" t="str">
        <f>Bunding_Raw_Material_Costs[[#This Row],[LOOKUP]]</f>
        <v>Peat Bund (Gully/Drain/Deep)&gt;4m - &lt;5m</v>
      </c>
      <c r="G56" s="59">
        <v>0</v>
      </c>
      <c r="H56" s="59">
        <v>0</v>
      </c>
    </row>
    <row r="57" spans="2:8">
      <c r="B57" s="3" t="str">
        <f t="shared" si="2"/>
        <v>Peat Bund (Gully/Drain/Deep)</v>
      </c>
      <c r="C57" s="3" t="str">
        <f t="shared" si="3"/>
        <v>&gt;5m - &lt;10m</v>
      </c>
      <c r="D57" s="3" t="str">
        <f t="shared" si="0"/>
        <v>Peat Bund (Gully/Drain/Deep)&gt;5m - &lt;10m</v>
      </c>
      <c r="E57" s="44">
        <v>0</v>
      </c>
      <c r="F57" s="70" t="str">
        <f>Bunding_Raw_Material_Costs[[#This Row],[LOOKUP]]</f>
        <v>Peat Bund (Gully/Drain/Deep)&gt;5m - &lt;10m</v>
      </c>
      <c r="G57" s="60">
        <v>0</v>
      </c>
      <c r="H57" s="60">
        <v>0</v>
      </c>
    </row>
    <row r="58" spans="2:8">
      <c r="B58" s="3" t="str">
        <f t="shared" si="2"/>
        <v>Peat Bund (Gully/Drain/Deep)</v>
      </c>
      <c r="C58" s="3" t="str">
        <f t="shared" si="3"/>
        <v>&gt;10m</v>
      </c>
      <c r="D58" s="3" t="str">
        <f t="shared" si="0"/>
        <v>Peat Bund (Gully/Drain/Deep)&gt;10m</v>
      </c>
      <c r="E58" s="44">
        <v>0</v>
      </c>
      <c r="F58" s="100" t="str">
        <f>Bunding_Raw_Material_Costs[[#This Row],[LOOKUP]]</f>
        <v>Peat Bund (Gully/Drain/Deep)&gt;10m</v>
      </c>
      <c r="G58" s="59">
        <v>0</v>
      </c>
      <c r="H58" s="59">
        <v>0</v>
      </c>
    </row>
    <row r="59" spans="2:8">
      <c r="B59" s="3" t="str">
        <f>$B$8</f>
        <v>Peat Cell Bund</v>
      </c>
      <c r="C59" s="3" t="str">
        <f>F21</f>
        <v>10m2</v>
      </c>
      <c r="D59" s="3" t="str">
        <f t="shared" si="0"/>
        <v>Peat Cell Bund10m2</v>
      </c>
      <c r="E59" s="44">
        <v>0</v>
      </c>
      <c r="F59" s="70" t="str">
        <f>Bunding_Raw_Material_Costs[[#This Row],[LOOKUP]]</f>
        <v>Peat Cell Bund10m2</v>
      </c>
      <c r="G59" s="60">
        <v>0</v>
      </c>
      <c r="H59" s="60">
        <v>0</v>
      </c>
    </row>
    <row r="60" spans="2:8">
      <c r="B60" s="3" t="str">
        <f>$B$8</f>
        <v>Peat Cell Bund</v>
      </c>
      <c r="C60" s="3" t="str">
        <f t="shared" ref="C60:C61" si="4">F22</f>
        <v>15m2</v>
      </c>
      <c r="D60" s="3" t="str">
        <f t="shared" si="0"/>
        <v>Peat Cell Bund15m2</v>
      </c>
      <c r="E60" s="44">
        <v>0</v>
      </c>
      <c r="F60" s="100" t="str">
        <f>Bunding_Raw_Material_Costs[[#This Row],[LOOKUP]]</f>
        <v>Peat Cell Bund15m2</v>
      </c>
      <c r="G60" s="59">
        <v>0</v>
      </c>
      <c r="H60" s="59">
        <v>0</v>
      </c>
    </row>
    <row r="61" spans="2:8">
      <c r="B61" s="3" t="str">
        <f>$B$8</f>
        <v>Peat Cell Bund</v>
      </c>
      <c r="C61" s="3" t="str">
        <f t="shared" si="4"/>
        <v>20m2</v>
      </c>
      <c r="D61" s="3" t="str">
        <f t="shared" si="0"/>
        <v>Peat Cell Bund20m2</v>
      </c>
      <c r="E61" s="44">
        <v>0</v>
      </c>
      <c r="F61" s="70" t="str">
        <f>Bunding_Raw_Material_Costs[[#This Row],[LOOKUP]]</f>
        <v>Peat Cell Bund20m2</v>
      </c>
      <c r="G61" s="60">
        <v>0</v>
      </c>
      <c r="H61" s="60">
        <v>0</v>
      </c>
    </row>
    <row r="62" spans="2:8">
      <c r="B62" s="3" t="str">
        <f t="shared" ref="B62:B68" si="5">$B$9</f>
        <v>Peat Finger Tie Back Bund</v>
      </c>
      <c r="C62" s="3" t="str">
        <f>G21</f>
        <v>&lt;1m</v>
      </c>
      <c r="D62" s="3" t="str">
        <f t="shared" si="0"/>
        <v>Peat Finger Tie Back Bund&lt;1m</v>
      </c>
      <c r="E62" s="44">
        <v>0</v>
      </c>
      <c r="F62" s="100" t="str">
        <f>Bunding_Raw_Material_Costs[[#This Row],[LOOKUP]]</f>
        <v>Peat Finger Tie Back Bund&lt;1m</v>
      </c>
      <c r="G62" s="59">
        <v>0</v>
      </c>
      <c r="H62" s="59">
        <v>0</v>
      </c>
    </row>
    <row r="63" spans="2:8">
      <c r="B63" s="3" t="str">
        <f t="shared" si="5"/>
        <v>Peat Finger Tie Back Bund</v>
      </c>
      <c r="C63" s="3" t="str">
        <f t="shared" ref="C63:C68" si="6">G22</f>
        <v>&gt;1m - &lt;2m</v>
      </c>
      <c r="D63" s="3" t="str">
        <f t="shared" si="0"/>
        <v>Peat Finger Tie Back Bund&gt;1m - &lt;2m</v>
      </c>
      <c r="E63" s="44">
        <v>0</v>
      </c>
      <c r="F63" s="70" t="str">
        <f>Bunding_Raw_Material_Costs[[#This Row],[LOOKUP]]</f>
        <v>Peat Finger Tie Back Bund&gt;1m - &lt;2m</v>
      </c>
      <c r="G63" s="60">
        <v>0</v>
      </c>
      <c r="H63" s="60">
        <v>0</v>
      </c>
    </row>
    <row r="64" spans="2:8">
      <c r="B64" s="3" t="str">
        <f t="shared" si="5"/>
        <v>Peat Finger Tie Back Bund</v>
      </c>
      <c r="C64" s="3" t="str">
        <f t="shared" si="6"/>
        <v>&gt;2m - &lt;3m</v>
      </c>
      <c r="D64" s="3" t="str">
        <f t="shared" si="0"/>
        <v>Peat Finger Tie Back Bund&gt;2m - &lt;3m</v>
      </c>
      <c r="E64" s="44">
        <v>0</v>
      </c>
      <c r="F64" s="100" t="str">
        <f>Bunding_Raw_Material_Costs[[#This Row],[LOOKUP]]</f>
        <v>Peat Finger Tie Back Bund&gt;2m - &lt;3m</v>
      </c>
      <c r="G64" s="59">
        <v>0</v>
      </c>
      <c r="H64" s="59">
        <v>0</v>
      </c>
    </row>
    <row r="65" spans="2:8">
      <c r="B65" s="3" t="str">
        <f t="shared" si="5"/>
        <v>Peat Finger Tie Back Bund</v>
      </c>
      <c r="C65" s="3" t="str">
        <f t="shared" si="6"/>
        <v>&gt;3m - &lt;4m</v>
      </c>
      <c r="D65" s="3" t="str">
        <f t="shared" si="0"/>
        <v>Peat Finger Tie Back Bund&gt;3m - &lt;4m</v>
      </c>
      <c r="E65" s="44">
        <v>0</v>
      </c>
      <c r="F65" s="70" t="str">
        <f>Bunding_Raw_Material_Costs[[#This Row],[LOOKUP]]</f>
        <v>Peat Finger Tie Back Bund&gt;3m - &lt;4m</v>
      </c>
      <c r="G65" s="60">
        <v>0</v>
      </c>
      <c r="H65" s="60">
        <v>0</v>
      </c>
    </row>
    <row r="66" spans="2:8">
      <c r="B66" s="3" t="str">
        <f t="shared" si="5"/>
        <v>Peat Finger Tie Back Bund</v>
      </c>
      <c r="C66" s="3" t="str">
        <f t="shared" si="6"/>
        <v>&gt;4m - &lt;5m</v>
      </c>
      <c r="D66" s="3" t="str">
        <f t="shared" si="0"/>
        <v>Peat Finger Tie Back Bund&gt;4m - &lt;5m</v>
      </c>
      <c r="E66" s="44">
        <v>0</v>
      </c>
      <c r="F66" s="100" t="str">
        <f>Bunding_Raw_Material_Costs[[#This Row],[LOOKUP]]</f>
        <v>Peat Finger Tie Back Bund&gt;4m - &lt;5m</v>
      </c>
      <c r="G66" s="59">
        <v>0</v>
      </c>
      <c r="H66" s="59">
        <v>0</v>
      </c>
    </row>
    <row r="67" spans="2:8">
      <c r="B67" s="3" t="str">
        <f t="shared" si="5"/>
        <v>Peat Finger Tie Back Bund</v>
      </c>
      <c r="C67" s="3" t="str">
        <f t="shared" si="6"/>
        <v>&gt;5m - &lt;10m</v>
      </c>
      <c r="D67" s="3" t="str">
        <f t="shared" ref="D67:D90" si="7">B67&amp;C67</f>
        <v>Peat Finger Tie Back Bund&gt;5m - &lt;10m</v>
      </c>
      <c r="E67" s="44">
        <v>0</v>
      </c>
      <c r="F67" s="70" t="str">
        <f>Bunding_Raw_Material_Costs[[#This Row],[LOOKUP]]</f>
        <v>Peat Finger Tie Back Bund&gt;5m - &lt;10m</v>
      </c>
      <c r="G67" s="60">
        <v>0</v>
      </c>
      <c r="H67" s="60">
        <v>0</v>
      </c>
    </row>
    <row r="68" spans="2:8">
      <c r="B68" s="3" t="str">
        <f t="shared" si="5"/>
        <v>Peat Finger Tie Back Bund</v>
      </c>
      <c r="C68" s="3" t="str">
        <f t="shared" si="6"/>
        <v>&gt;10m</v>
      </c>
      <c r="D68" s="3" t="str">
        <f t="shared" si="7"/>
        <v>Peat Finger Tie Back Bund&gt;10m</v>
      </c>
      <c r="E68" s="44">
        <v>0</v>
      </c>
      <c r="F68" s="100" t="str">
        <f>Bunding_Raw_Material_Costs[[#This Row],[LOOKUP]]</f>
        <v>Peat Finger Tie Back Bund&gt;10m</v>
      </c>
      <c r="G68" s="59">
        <v>0</v>
      </c>
      <c r="H68" s="59">
        <v>0</v>
      </c>
    </row>
    <row r="69" spans="2:8">
      <c r="B69" s="3" t="str">
        <f t="shared" ref="B69:B75" si="8">$B$10</f>
        <v>Peat Fish-Scale/Scallop Bund</v>
      </c>
      <c r="C69" s="3" t="str">
        <f>H21</f>
        <v>&lt;1m</v>
      </c>
      <c r="D69" s="3" t="str">
        <f t="shared" si="7"/>
        <v>Peat Fish-Scale/Scallop Bund&lt;1m</v>
      </c>
      <c r="E69" s="44">
        <v>0</v>
      </c>
      <c r="F69" s="70" t="str">
        <f>Bunding_Raw_Material_Costs[[#This Row],[LOOKUP]]</f>
        <v>Peat Fish-Scale/Scallop Bund&lt;1m</v>
      </c>
      <c r="G69" s="60">
        <v>0</v>
      </c>
      <c r="H69" s="60">
        <v>0</v>
      </c>
    </row>
    <row r="70" spans="2:8">
      <c r="B70" s="3" t="str">
        <f t="shared" si="8"/>
        <v>Peat Fish-Scale/Scallop Bund</v>
      </c>
      <c r="C70" s="3" t="str">
        <f t="shared" ref="C70:C75" si="9">H22</f>
        <v>&gt;1m - &lt;2m</v>
      </c>
      <c r="D70" s="3" t="str">
        <f t="shared" si="7"/>
        <v>Peat Fish-Scale/Scallop Bund&gt;1m - &lt;2m</v>
      </c>
      <c r="E70" s="44">
        <v>0</v>
      </c>
      <c r="F70" s="100" t="str">
        <f>Bunding_Raw_Material_Costs[[#This Row],[LOOKUP]]</f>
        <v>Peat Fish-Scale/Scallop Bund&gt;1m - &lt;2m</v>
      </c>
      <c r="G70" s="59">
        <v>0</v>
      </c>
      <c r="H70" s="59">
        <v>0</v>
      </c>
    </row>
    <row r="71" spans="2:8">
      <c r="B71" s="3" t="str">
        <f t="shared" si="8"/>
        <v>Peat Fish-Scale/Scallop Bund</v>
      </c>
      <c r="C71" s="3" t="str">
        <f t="shared" si="9"/>
        <v>&gt;2m - &lt;3m</v>
      </c>
      <c r="D71" s="3" t="str">
        <f t="shared" si="7"/>
        <v>Peat Fish-Scale/Scallop Bund&gt;2m - &lt;3m</v>
      </c>
      <c r="E71" s="44">
        <v>0</v>
      </c>
      <c r="F71" s="70" t="str">
        <f>Bunding_Raw_Material_Costs[[#This Row],[LOOKUP]]</f>
        <v>Peat Fish-Scale/Scallop Bund&gt;2m - &lt;3m</v>
      </c>
      <c r="G71" s="60">
        <v>0</v>
      </c>
      <c r="H71" s="60">
        <v>0</v>
      </c>
    </row>
    <row r="72" spans="2:8">
      <c r="B72" s="3" t="str">
        <f t="shared" si="8"/>
        <v>Peat Fish-Scale/Scallop Bund</v>
      </c>
      <c r="C72" s="3" t="str">
        <f t="shared" si="9"/>
        <v>&gt;3m - &lt;4m</v>
      </c>
      <c r="D72" s="3" t="str">
        <f t="shared" si="7"/>
        <v>Peat Fish-Scale/Scallop Bund&gt;3m - &lt;4m</v>
      </c>
      <c r="E72" s="44">
        <v>0</v>
      </c>
      <c r="F72" s="100" t="str">
        <f>Bunding_Raw_Material_Costs[[#This Row],[LOOKUP]]</f>
        <v>Peat Fish-Scale/Scallop Bund&gt;3m - &lt;4m</v>
      </c>
      <c r="G72" s="59">
        <v>0</v>
      </c>
      <c r="H72" s="59">
        <v>0</v>
      </c>
    </row>
    <row r="73" spans="2:8">
      <c r="B73" s="3" t="str">
        <f t="shared" si="8"/>
        <v>Peat Fish-Scale/Scallop Bund</v>
      </c>
      <c r="C73" s="3" t="str">
        <f t="shared" si="9"/>
        <v>&gt;4m - &lt;5m</v>
      </c>
      <c r="D73" s="3" t="str">
        <f t="shared" si="7"/>
        <v>Peat Fish-Scale/Scallop Bund&gt;4m - &lt;5m</v>
      </c>
      <c r="E73" s="44">
        <v>0</v>
      </c>
      <c r="F73" s="70" t="str">
        <f>Bunding_Raw_Material_Costs[[#This Row],[LOOKUP]]</f>
        <v>Peat Fish-Scale/Scallop Bund&gt;4m - &lt;5m</v>
      </c>
      <c r="G73" s="60">
        <v>0</v>
      </c>
      <c r="H73" s="60">
        <v>0</v>
      </c>
    </row>
    <row r="74" spans="2:8">
      <c r="B74" s="3" t="str">
        <f t="shared" si="8"/>
        <v>Peat Fish-Scale/Scallop Bund</v>
      </c>
      <c r="C74" s="3" t="str">
        <f t="shared" si="9"/>
        <v>&gt;5m - &lt;10m</v>
      </c>
      <c r="D74" s="3" t="str">
        <f t="shared" si="7"/>
        <v>Peat Fish-Scale/Scallop Bund&gt;5m - &lt;10m</v>
      </c>
      <c r="E74" s="44">
        <v>0</v>
      </c>
      <c r="F74" s="100" t="str">
        <f>Bunding_Raw_Material_Costs[[#This Row],[LOOKUP]]</f>
        <v>Peat Fish-Scale/Scallop Bund&gt;5m - &lt;10m</v>
      </c>
      <c r="G74" s="59">
        <v>0</v>
      </c>
      <c r="H74" s="59">
        <v>0</v>
      </c>
    </row>
    <row r="75" spans="2:8">
      <c r="B75" s="3" t="str">
        <f t="shared" si="8"/>
        <v>Peat Fish-Scale/Scallop Bund</v>
      </c>
      <c r="C75" s="3" t="str">
        <f t="shared" si="9"/>
        <v>&gt;10m</v>
      </c>
      <c r="D75" s="3" t="str">
        <f t="shared" si="7"/>
        <v>Peat Fish-Scale/Scallop Bund&gt;10m</v>
      </c>
      <c r="E75" s="44">
        <v>0</v>
      </c>
      <c r="F75" s="70" t="str">
        <f>Bunding_Raw_Material_Costs[[#This Row],[LOOKUP]]</f>
        <v>Peat Fish-Scale/Scallop Bund&gt;10m</v>
      </c>
      <c r="G75" s="60">
        <v>0</v>
      </c>
      <c r="H75" s="60">
        <v>0</v>
      </c>
    </row>
    <row r="76" spans="2:8">
      <c r="B76" s="3" t="str">
        <f>$B$11</f>
        <v>Peat Mini Bund</v>
      </c>
      <c r="C76" s="3" t="str">
        <f>I21</f>
        <v>&lt;1m</v>
      </c>
      <c r="D76" s="3" t="str">
        <f t="shared" si="7"/>
        <v>Peat Mini Bund&lt;1m</v>
      </c>
      <c r="E76" s="44">
        <v>0</v>
      </c>
      <c r="F76" s="100" t="str">
        <f>Bunding_Raw_Material_Costs[[#This Row],[LOOKUP]]</f>
        <v>Peat Mini Bund&lt;1m</v>
      </c>
      <c r="G76" s="59">
        <v>0</v>
      </c>
      <c r="H76" s="59">
        <v>0</v>
      </c>
    </row>
    <row r="77" spans="2:8">
      <c r="B77" s="3" t="str">
        <f t="shared" ref="B77:B83" si="10">$B$12</f>
        <v>Peat Surface Bund</v>
      </c>
      <c r="C77" s="3" t="str">
        <f>J21</f>
        <v>&lt;1m</v>
      </c>
      <c r="D77" s="3" t="str">
        <f t="shared" si="7"/>
        <v>Peat Surface Bund&lt;1m</v>
      </c>
      <c r="E77" s="44">
        <v>0</v>
      </c>
      <c r="F77" s="70" t="str">
        <f>Bunding_Raw_Material_Costs[[#This Row],[LOOKUP]]</f>
        <v>Peat Surface Bund&lt;1m</v>
      </c>
      <c r="G77" s="60">
        <v>0</v>
      </c>
      <c r="H77" s="60">
        <v>0</v>
      </c>
    </row>
    <row r="78" spans="2:8">
      <c r="B78" s="3" t="str">
        <f t="shared" si="10"/>
        <v>Peat Surface Bund</v>
      </c>
      <c r="C78" s="3" t="str">
        <f t="shared" ref="C78:C83" si="11">J22</f>
        <v>&gt;1m - &lt;2m</v>
      </c>
      <c r="D78" s="3" t="str">
        <f t="shared" si="7"/>
        <v>Peat Surface Bund&gt;1m - &lt;2m</v>
      </c>
      <c r="E78" s="44">
        <v>0</v>
      </c>
      <c r="F78" s="100" t="str">
        <f>Bunding_Raw_Material_Costs[[#This Row],[LOOKUP]]</f>
        <v>Peat Surface Bund&gt;1m - &lt;2m</v>
      </c>
      <c r="G78" s="59">
        <v>0</v>
      </c>
      <c r="H78" s="59">
        <v>0</v>
      </c>
    </row>
    <row r="79" spans="2:8">
      <c r="B79" s="3" t="str">
        <f t="shared" si="10"/>
        <v>Peat Surface Bund</v>
      </c>
      <c r="C79" s="3" t="str">
        <f t="shared" si="11"/>
        <v>&gt;2m - &lt;3m</v>
      </c>
      <c r="D79" s="3" t="str">
        <f t="shared" si="7"/>
        <v>Peat Surface Bund&gt;2m - &lt;3m</v>
      </c>
      <c r="E79" s="44">
        <v>0</v>
      </c>
      <c r="F79" s="70" t="str">
        <f>Bunding_Raw_Material_Costs[[#This Row],[LOOKUP]]</f>
        <v>Peat Surface Bund&gt;2m - &lt;3m</v>
      </c>
      <c r="G79" s="60">
        <v>0</v>
      </c>
      <c r="H79" s="60">
        <v>0</v>
      </c>
    </row>
    <row r="80" spans="2:8">
      <c r="B80" s="3" t="str">
        <f t="shared" si="10"/>
        <v>Peat Surface Bund</v>
      </c>
      <c r="C80" s="3" t="str">
        <f t="shared" si="11"/>
        <v>&gt;3m - &lt;4m</v>
      </c>
      <c r="D80" s="3" t="str">
        <f t="shared" si="7"/>
        <v>Peat Surface Bund&gt;3m - &lt;4m</v>
      </c>
      <c r="E80" s="44">
        <v>0</v>
      </c>
      <c r="F80" s="100" t="str">
        <f>Bunding_Raw_Material_Costs[[#This Row],[LOOKUP]]</f>
        <v>Peat Surface Bund&gt;3m - &lt;4m</v>
      </c>
      <c r="G80" s="59">
        <v>0</v>
      </c>
      <c r="H80" s="59">
        <v>0</v>
      </c>
    </row>
    <row r="81" spans="2:8">
      <c r="B81" s="3" t="str">
        <f t="shared" si="10"/>
        <v>Peat Surface Bund</v>
      </c>
      <c r="C81" s="3" t="str">
        <f t="shared" si="11"/>
        <v>&gt;4m - &lt;5m</v>
      </c>
      <c r="D81" s="3" t="str">
        <f t="shared" si="7"/>
        <v>Peat Surface Bund&gt;4m - &lt;5m</v>
      </c>
      <c r="E81" s="44">
        <v>0</v>
      </c>
      <c r="F81" s="70" t="str">
        <f>Bunding_Raw_Material_Costs[[#This Row],[LOOKUP]]</f>
        <v>Peat Surface Bund&gt;4m - &lt;5m</v>
      </c>
      <c r="G81" s="60">
        <v>0</v>
      </c>
      <c r="H81" s="60">
        <v>0</v>
      </c>
    </row>
    <row r="82" spans="2:8">
      <c r="B82" s="3" t="str">
        <f t="shared" si="10"/>
        <v>Peat Surface Bund</v>
      </c>
      <c r="C82" s="3" t="str">
        <f t="shared" si="11"/>
        <v>&gt;5m - &lt;10m</v>
      </c>
      <c r="D82" s="3" t="str">
        <f t="shared" si="7"/>
        <v>Peat Surface Bund&gt;5m - &lt;10m</v>
      </c>
      <c r="E82" s="44">
        <v>0</v>
      </c>
      <c r="F82" s="100" t="str">
        <f>Bunding_Raw_Material_Costs[[#This Row],[LOOKUP]]</f>
        <v>Peat Surface Bund&gt;5m - &lt;10m</v>
      </c>
      <c r="G82" s="59">
        <v>0</v>
      </c>
      <c r="H82" s="59">
        <v>0</v>
      </c>
    </row>
    <row r="83" spans="2:8">
      <c r="B83" s="3" t="str">
        <f t="shared" si="10"/>
        <v>Peat Surface Bund</v>
      </c>
      <c r="C83" s="3" t="str">
        <f t="shared" si="11"/>
        <v>&gt;10m</v>
      </c>
      <c r="D83" s="3" t="str">
        <f t="shared" si="7"/>
        <v>Peat Surface Bund&gt;10m</v>
      </c>
      <c r="E83" s="44">
        <v>0</v>
      </c>
      <c r="F83" s="70" t="str">
        <f>Bunding_Raw_Material_Costs[[#This Row],[LOOKUP]]</f>
        <v>Peat Surface Bund&gt;10m</v>
      </c>
      <c r="G83" s="60">
        <v>0</v>
      </c>
      <c r="H83" s="60">
        <v>0</v>
      </c>
    </row>
    <row r="84" spans="2:8">
      <c r="B84" s="3" t="str">
        <f t="shared" ref="B84:B90" si="12">$B$13</f>
        <v>Peat Trench Bund</v>
      </c>
      <c r="C84" s="3" t="str">
        <f>K21</f>
        <v>&lt;1m</v>
      </c>
      <c r="D84" s="3" t="str">
        <f t="shared" si="7"/>
        <v>Peat Trench Bund&lt;1m</v>
      </c>
      <c r="E84" s="44">
        <v>0</v>
      </c>
      <c r="F84" s="100" t="str">
        <f>Bunding_Raw_Material_Costs[[#This Row],[LOOKUP]]</f>
        <v>Peat Trench Bund&lt;1m</v>
      </c>
      <c r="G84" s="59">
        <v>0</v>
      </c>
      <c r="H84" s="59">
        <v>0</v>
      </c>
    </row>
    <row r="85" spans="2:8">
      <c r="B85" s="3" t="str">
        <f t="shared" si="12"/>
        <v>Peat Trench Bund</v>
      </c>
      <c r="C85" s="3" t="str">
        <f t="shared" ref="C85:C90" si="13">K22</f>
        <v>&gt;1m - &lt;2m</v>
      </c>
      <c r="D85" s="3" t="str">
        <f t="shared" si="7"/>
        <v>Peat Trench Bund&gt;1m - &lt;2m</v>
      </c>
      <c r="E85" s="44">
        <v>0</v>
      </c>
      <c r="F85" s="70" t="str">
        <f>Bunding_Raw_Material_Costs[[#This Row],[LOOKUP]]</f>
        <v>Peat Trench Bund&gt;1m - &lt;2m</v>
      </c>
      <c r="G85" s="60">
        <v>0</v>
      </c>
      <c r="H85" s="60">
        <v>0</v>
      </c>
    </row>
    <row r="86" spans="2:8">
      <c r="B86" s="3" t="str">
        <f t="shared" si="12"/>
        <v>Peat Trench Bund</v>
      </c>
      <c r="C86" s="3" t="str">
        <f t="shared" si="13"/>
        <v>&gt;2m - &lt;3m</v>
      </c>
      <c r="D86" s="3" t="str">
        <f t="shared" si="7"/>
        <v>Peat Trench Bund&gt;2m - &lt;3m</v>
      </c>
      <c r="E86" s="44">
        <v>0</v>
      </c>
      <c r="F86" s="100" t="str">
        <f>Bunding_Raw_Material_Costs[[#This Row],[LOOKUP]]</f>
        <v>Peat Trench Bund&gt;2m - &lt;3m</v>
      </c>
      <c r="G86" s="59">
        <v>0</v>
      </c>
      <c r="H86" s="59">
        <v>0</v>
      </c>
    </row>
    <row r="87" spans="2:8">
      <c r="B87" s="3" t="str">
        <f t="shared" si="12"/>
        <v>Peat Trench Bund</v>
      </c>
      <c r="C87" s="3" t="str">
        <f t="shared" si="13"/>
        <v>&gt;3m - &lt;4m</v>
      </c>
      <c r="D87" s="3" t="str">
        <f t="shared" si="7"/>
        <v>Peat Trench Bund&gt;3m - &lt;4m</v>
      </c>
      <c r="E87" s="44">
        <v>0</v>
      </c>
      <c r="F87" s="70" t="str">
        <f>Bunding_Raw_Material_Costs[[#This Row],[LOOKUP]]</f>
        <v>Peat Trench Bund&gt;3m - &lt;4m</v>
      </c>
      <c r="G87" s="60">
        <v>0</v>
      </c>
      <c r="H87" s="60">
        <v>0</v>
      </c>
    </row>
    <row r="88" spans="2:8">
      <c r="B88" s="3" t="str">
        <f t="shared" si="12"/>
        <v>Peat Trench Bund</v>
      </c>
      <c r="C88" s="3" t="str">
        <f t="shared" si="13"/>
        <v>&gt;4m - &lt;5m</v>
      </c>
      <c r="D88" s="3" t="str">
        <f t="shared" si="7"/>
        <v>Peat Trench Bund&gt;4m - &lt;5m</v>
      </c>
      <c r="E88" s="44">
        <v>0</v>
      </c>
      <c r="F88" s="100" t="str">
        <f>Bunding_Raw_Material_Costs[[#This Row],[LOOKUP]]</f>
        <v>Peat Trench Bund&gt;4m - &lt;5m</v>
      </c>
      <c r="G88" s="59">
        <v>0</v>
      </c>
      <c r="H88" s="59">
        <v>0</v>
      </c>
    </row>
    <row r="89" spans="2:8">
      <c r="B89" s="3" t="str">
        <f t="shared" si="12"/>
        <v>Peat Trench Bund</v>
      </c>
      <c r="C89" s="3" t="str">
        <f t="shared" si="13"/>
        <v>&gt;5m - &lt;10m</v>
      </c>
      <c r="D89" s="3" t="str">
        <f t="shared" si="7"/>
        <v>Peat Trench Bund&gt;5m - &lt;10m</v>
      </c>
      <c r="E89" s="44">
        <v>0</v>
      </c>
      <c r="F89" s="70" t="str">
        <f>Bunding_Raw_Material_Costs[[#This Row],[LOOKUP]]</f>
        <v>Peat Trench Bund&gt;5m - &lt;10m</v>
      </c>
      <c r="G89" s="60">
        <v>0</v>
      </c>
      <c r="H89" s="60">
        <v>0</v>
      </c>
    </row>
    <row r="90" spans="2:8">
      <c r="B90" s="3" t="str">
        <f t="shared" si="12"/>
        <v>Peat Trench Bund</v>
      </c>
      <c r="C90" s="3" t="str">
        <f t="shared" si="13"/>
        <v>&gt;10m</v>
      </c>
      <c r="D90" s="3" t="str">
        <f t="shared" si="7"/>
        <v>Peat Trench Bund&gt;10m</v>
      </c>
      <c r="E90" s="44">
        <v>0</v>
      </c>
      <c r="F90" s="100" t="str">
        <f>Bunding_Raw_Material_Costs[[#This Row],[LOOKUP]]</f>
        <v>Peat Trench Bund&gt;10m</v>
      </c>
      <c r="G90" s="59">
        <v>0</v>
      </c>
      <c r="H90" s="59">
        <v>0</v>
      </c>
    </row>
    <row r="91" spans="2:8">
      <c r="E91" s="16"/>
    </row>
    <row r="96" spans="2:8">
      <c r="B96" s="1" t="s">
        <v>307</v>
      </c>
    </row>
    <row r="97" spans="2:5">
      <c r="B97" s="10" t="s">
        <v>288</v>
      </c>
      <c r="C97" s="11" t="s">
        <v>305</v>
      </c>
      <c r="D97" s="12" t="s">
        <v>118</v>
      </c>
      <c r="E97" s="13" t="s">
        <v>306</v>
      </c>
    </row>
    <row r="98" spans="2:5">
      <c r="B98" s="47" t="str">
        <f>B4</f>
        <v>Coir Log</v>
      </c>
      <c r="C98" s="48" cm="1">
        <f t="array" ref="C98">Project_Vehicle_Costs[Delivery HGV]</f>
        <v>0.98495999999999995</v>
      </c>
      <c r="D98" s="35" t="str">
        <f>D35</f>
        <v>Coir Log&lt;1m</v>
      </c>
      <c r="E98" s="26">
        <f>E99*1.5</f>
        <v>582</v>
      </c>
    </row>
    <row r="99" spans="2:5">
      <c r="B99" s="50" t="str">
        <f>B5</f>
        <v>Heather Bale Bund</v>
      </c>
      <c r="C99" s="49" cm="1">
        <f t="array" ref="C99">Project_Vehicle_Costs[17t Delivery]</f>
        <v>1.2018599999999999</v>
      </c>
      <c r="D99" s="38" t="str">
        <f t="shared" ref="D99:D153" si="14">D36</f>
        <v>Coir Log&gt;1m - &lt;2m</v>
      </c>
      <c r="E99" s="25">
        <v>388</v>
      </c>
    </row>
    <row r="100" spans="2:5">
      <c r="B100" s="35" t="s">
        <v>314</v>
      </c>
      <c r="C100" s="26">
        <v>0</v>
      </c>
      <c r="D100" s="35" t="str">
        <f t="shared" si="14"/>
        <v>Coir Log&gt;2m - &lt;3m</v>
      </c>
      <c r="E100" s="26">
        <f>E99/1.66</f>
        <v>233.73493975903617</v>
      </c>
    </row>
    <row r="101" spans="2:5">
      <c r="B101" s="50" t="str">
        <f t="shared" ref="B101:B107" si="15">B7</f>
        <v>Peat Bund (Gully/Drain/Deep)</v>
      </c>
      <c r="C101" s="49">
        <v>0</v>
      </c>
      <c r="D101" s="38" t="str">
        <f t="shared" si="14"/>
        <v>Coir Log&gt;3m - &lt;4m</v>
      </c>
      <c r="E101" s="25">
        <f>E99/2.33</f>
        <v>166.52360515021459</v>
      </c>
    </row>
    <row r="102" spans="2:5">
      <c r="B102" s="101" t="str">
        <f t="shared" si="15"/>
        <v>Peat Cell Bund</v>
      </c>
      <c r="C102" s="48">
        <v>0</v>
      </c>
      <c r="D102" s="35" t="str">
        <f t="shared" si="14"/>
        <v>Coir Log&gt;4m</v>
      </c>
      <c r="E102" s="26">
        <f>E99/2.66</f>
        <v>145.86466165413532</v>
      </c>
    </row>
    <row r="103" spans="2:5">
      <c r="B103" s="50" t="str">
        <f t="shared" si="15"/>
        <v>Peat Finger Tie Back Bund</v>
      </c>
      <c r="C103" s="49">
        <v>0</v>
      </c>
      <c r="D103" s="38" t="str">
        <f t="shared" si="14"/>
        <v>Heather Bale Bund&lt;1m</v>
      </c>
      <c r="E103" s="25">
        <v>500</v>
      </c>
    </row>
    <row r="104" spans="2:5">
      <c r="B104" s="101" t="str">
        <f t="shared" si="15"/>
        <v>Peat Fish-Scale/Scallop Bund</v>
      </c>
      <c r="C104" s="48">
        <v>0</v>
      </c>
      <c r="D104" s="35" t="str">
        <f t="shared" si="14"/>
        <v>Heather Bale Bund&gt;1m - &lt;2m</v>
      </c>
      <c r="E104" s="26">
        <f>'GullyGrip Blocking Data'!E92</f>
        <v>425</v>
      </c>
    </row>
    <row r="105" spans="2:5">
      <c r="B105" s="50" t="str">
        <f t="shared" si="15"/>
        <v>Peat Mini Bund</v>
      </c>
      <c r="C105" s="49">
        <v>0</v>
      </c>
      <c r="D105" s="38" t="str">
        <f t="shared" si="14"/>
        <v>Heather Bale Bund&gt;2m - &lt;3m</v>
      </c>
      <c r="E105" s="25">
        <f>'GullyGrip Blocking Data'!E93</f>
        <v>283</v>
      </c>
    </row>
    <row r="106" spans="2:5">
      <c r="B106" s="101" t="str">
        <f t="shared" si="15"/>
        <v>Peat Surface Bund</v>
      </c>
      <c r="C106" s="48">
        <v>0</v>
      </c>
      <c r="D106" s="35" t="str">
        <f t="shared" si="14"/>
        <v>Heather Bale Bund&gt;3m - &lt;4m</v>
      </c>
      <c r="E106" s="26">
        <f>'GullyGrip Blocking Data'!E94</f>
        <v>213</v>
      </c>
    </row>
    <row r="107" spans="2:5">
      <c r="B107" s="102" t="str">
        <f t="shared" si="15"/>
        <v>Peat Trench Bund</v>
      </c>
      <c r="C107" s="71">
        <v>0</v>
      </c>
      <c r="D107" s="38" t="str">
        <f t="shared" si="14"/>
        <v>Heather Bale Bund&gt;4m</v>
      </c>
      <c r="E107" s="25">
        <f>'GullyGrip Blocking Data'!E95</f>
        <v>170</v>
      </c>
    </row>
    <row r="108" spans="2:5">
      <c r="D108" s="35" t="str">
        <f t="shared" si="14"/>
        <v>Peat Arc Bund&lt;1m</v>
      </c>
      <c r="E108" s="26">
        <v>0</v>
      </c>
    </row>
    <row r="109" spans="2:5">
      <c r="D109" s="38" t="str">
        <f t="shared" si="14"/>
        <v>Peat Arc Bund&gt;1m - &lt;2m</v>
      </c>
      <c r="E109" s="25">
        <v>0</v>
      </c>
    </row>
    <row r="110" spans="2:5">
      <c r="D110" s="35" t="str">
        <f t="shared" si="14"/>
        <v>Peat Arc Bund&gt;2m - &lt;3m</v>
      </c>
      <c r="E110" s="26">
        <v>0</v>
      </c>
    </row>
    <row r="111" spans="2:5">
      <c r="D111" s="38" t="str">
        <f t="shared" si="14"/>
        <v>Peat Arc Bund&gt;3m - &lt;4m</v>
      </c>
      <c r="E111" s="25">
        <v>0</v>
      </c>
    </row>
    <row r="112" spans="2:5">
      <c r="D112" s="35" t="str">
        <f t="shared" si="14"/>
        <v>Peat Arc Bund&gt;4m - &lt;5m</v>
      </c>
      <c r="E112" s="26">
        <v>0</v>
      </c>
    </row>
    <row r="113" spans="4:5">
      <c r="D113" s="38" t="str">
        <f t="shared" si="14"/>
        <v>Peat Arc Bund&gt;5m - &lt;10m</v>
      </c>
      <c r="E113" s="25">
        <v>0</v>
      </c>
    </row>
    <row r="114" spans="4:5">
      <c r="D114" s="35" t="str">
        <f t="shared" si="14"/>
        <v>Peat Arc Bund&gt;10m</v>
      </c>
      <c r="E114" s="26">
        <v>0</v>
      </c>
    </row>
    <row r="115" spans="4:5">
      <c r="D115" s="38" t="str">
        <f t="shared" si="14"/>
        <v>Peat Bund (Gully/Drain/Deep)&lt;1m</v>
      </c>
      <c r="E115" s="25">
        <v>0</v>
      </c>
    </row>
    <row r="116" spans="4:5">
      <c r="D116" s="35" t="str">
        <f t="shared" si="14"/>
        <v>Peat Bund (Gully/Drain/Deep)&gt;1m - &lt;2m</v>
      </c>
      <c r="E116" s="26">
        <v>0</v>
      </c>
    </row>
    <row r="117" spans="4:5">
      <c r="D117" s="38" t="str">
        <f t="shared" si="14"/>
        <v>Peat Bund (Gully/Drain/Deep)&gt;2m - &lt;3m</v>
      </c>
      <c r="E117" s="25">
        <v>0</v>
      </c>
    </row>
    <row r="118" spans="4:5">
      <c r="D118" s="35" t="str">
        <f t="shared" si="14"/>
        <v>Peat Bund (Gully/Drain/Deep)&gt;3m - &lt;4m</v>
      </c>
      <c r="E118" s="26">
        <v>0</v>
      </c>
    </row>
    <row r="119" spans="4:5">
      <c r="D119" s="38" t="str">
        <f t="shared" si="14"/>
        <v>Peat Bund (Gully/Drain/Deep)&gt;4m - &lt;5m</v>
      </c>
      <c r="E119" s="25">
        <v>0</v>
      </c>
    </row>
    <row r="120" spans="4:5">
      <c r="D120" s="35" t="str">
        <f t="shared" si="14"/>
        <v>Peat Bund (Gully/Drain/Deep)&gt;5m - &lt;10m</v>
      </c>
      <c r="E120" s="26">
        <v>0</v>
      </c>
    </row>
    <row r="121" spans="4:5">
      <c r="D121" s="38" t="str">
        <f t="shared" si="14"/>
        <v>Peat Bund (Gully/Drain/Deep)&gt;10m</v>
      </c>
      <c r="E121" s="25">
        <v>0</v>
      </c>
    </row>
    <row r="122" spans="4:5">
      <c r="D122" s="35" t="str">
        <f t="shared" si="14"/>
        <v>Peat Cell Bund10m2</v>
      </c>
      <c r="E122" s="26">
        <v>0</v>
      </c>
    </row>
    <row r="123" spans="4:5">
      <c r="D123" s="38" t="str">
        <f t="shared" si="14"/>
        <v>Peat Cell Bund15m2</v>
      </c>
      <c r="E123" s="25">
        <v>0</v>
      </c>
    </row>
    <row r="124" spans="4:5">
      <c r="D124" s="35" t="str">
        <f t="shared" si="14"/>
        <v>Peat Cell Bund20m2</v>
      </c>
      <c r="E124" s="26">
        <v>0</v>
      </c>
    </row>
    <row r="125" spans="4:5">
      <c r="D125" s="38" t="str">
        <f t="shared" si="14"/>
        <v>Peat Finger Tie Back Bund&lt;1m</v>
      </c>
      <c r="E125" s="25">
        <v>0</v>
      </c>
    </row>
    <row r="126" spans="4:5">
      <c r="D126" s="35" t="str">
        <f t="shared" si="14"/>
        <v>Peat Finger Tie Back Bund&gt;1m - &lt;2m</v>
      </c>
      <c r="E126" s="26">
        <v>0</v>
      </c>
    </row>
    <row r="127" spans="4:5">
      <c r="D127" s="38" t="str">
        <f t="shared" si="14"/>
        <v>Peat Finger Tie Back Bund&gt;2m - &lt;3m</v>
      </c>
      <c r="E127" s="25">
        <v>0</v>
      </c>
    </row>
    <row r="128" spans="4:5">
      <c r="D128" s="35" t="str">
        <f t="shared" si="14"/>
        <v>Peat Finger Tie Back Bund&gt;3m - &lt;4m</v>
      </c>
      <c r="E128" s="26">
        <v>0</v>
      </c>
    </row>
    <row r="129" spans="4:13">
      <c r="D129" s="38" t="str">
        <f t="shared" si="14"/>
        <v>Peat Finger Tie Back Bund&gt;4m - &lt;5m</v>
      </c>
      <c r="E129" s="25">
        <v>0</v>
      </c>
    </row>
    <row r="130" spans="4:13">
      <c r="D130" s="35" t="str">
        <f t="shared" si="14"/>
        <v>Peat Finger Tie Back Bund&gt;5m - &lt;10m</v>
      </c>
      <c r="E130" s="26">
        <v>0</v>
      </c>
    </row>
    <row r="131" spans="4:13">
      <c r="D131" s="38" t="str">
        <f t="shared" si="14"/>
        <v>Peat Finger Tie Back Bund&gt;10m</v>
      </c>
      <c r="E131" s="25">
        <v>0</v>
      </c>
    </row>
    <row r="132" spans="4:13">
      <c r="D132" s="35" t="str">
        <f t="shared" si="14"/>
        <v>Peat Fish-Scale/Scallop Bund&lt;1m</v>
      </c>
      <c r="E132" s="26">
        <v>0</v>
      </c>
    </row>
    <row r="133" spans="4:13">
      <c r="D133" s="38" t="str">
        <f t="shared" si="14"/>
        <v>Peat Fish-Scale/Scallop Bund&gt;1m - &lt;2m</v>
      </c>
      <c r="E133" s="25">
        <v>0</v>
      </c>
    </row>
    <row r="134" spans="4:13">
      <c r="D134" s="35" t="str">
        <f t="shared" si="14"/>
        <v>Peat Fish-Scale/Scallop Bund&gt;2m - &lt;3m</v>
      </c>
      <c r="E134" s="26">
        <v>0</v>
      </c>
    </row>
    <row r="135" spans="4:13">
      <c r="D135" s="38" t="str">
        <f t="shared" si="14"/>
        <v>Peat Fish-Scale/Scallop Bund&gt;3m - &lt;4m</v>
      </c>
      <c r="E135" s="25">
        <v>0</v>
      </c>
    </row>
    <row r="136" spans="4:13">
      <c r="D136" s="35" t="str">
        <f t="shared" si="14"/>
        <v>Peat Fish-Scale/Scallop Bund&gt;4m - &lt;5m</v>
      </c>
      <c r="E136" s="26">
        <v>0</v>
      </c>
      <c r="G136" s="62"/>
      <c r="H136" s="64"/>
      <c r="I136" s="62"/>
      <c r="J136" s="62"/>
      <c r="K136" s="64"/>
      <c r="L136" s="62"/>
      <c r="M136" s="62"/>
    </row>
    <row r="137" spans="4:13">
      <c r="D137" s="38" t="str">
        <f t="shared" si="14"/>
        <v>Peat Fish-Scale/Scallop Bund&gt;5m - &lt;10m</v>
      </c>
      <c r="E137" s="25">
        <v>0</v>
      </c>
    </row>
    <row r="138" spans="4:13">
      <c r="D138" s="35" t="str">
        <f t="shared" si="14"/>
        <v>Peat Fish-Scale/Scallop Bund&gt;10m</v>
      </c>
      <c r="E138" s="26">
        <v>0</v>
      </c>
    </row>
    <row r="139" spans="4:13">
      <c r="D139" s="38" t="str">
        <f t="shared" si="14"/>
        <v>Peat Mini Bund&lt;1m</v>
      </c>
      <c r="E139" s="25">
        <v>0</v>
      </c>
    </row>
    <row r="140" spans="4:13">
      <c r="D140" s="35" t="str">
        <f t="shared" si="14"/>
        <v>Peat Surface Bund&lt;1m</v>
      </c>
      <c r="E140" s="26">
        <v>0</v>
      </c>
    </row>
    <row r="141" spans="4:13">
      <c r="D141" s="38" t="str">
        <f t="shared" si="14"/>
        <v>Peat Surface Bund&gt;1m - &lt;2m</v>
      </c>
      <c r="E141" s="25">
        <v>0</v>
      </c>
    </row>
    <row r="142" spans="4:13">
      <c r="D142" s="35" t="str">
        <f t="shared" si="14"/>
        <v>Peat Surface Bund&gt;2m - &lt;3m</v>
      </c>
      <c r="E142" s="26">
        <v>0</v>
      </c>
    </row>
    <row r="143" spans="4:13">
      <c r="D143" s="38" t="str">
        <f t="shared" si="14"/>
        <v>Peat Surface Bund&gt;3m - &lt;4m</v>
      </c>
      <c r="E143" s="25">
        <v>0</v>
      </c>
    </row>
    <row r="144" spans="4:13">
      <c r="D144" s="35" t="str">
        <f t="shared" si="14"/>
        <v>Peat Surface Bund&gt;4m - &lt;5m</v>
      </c>
      <c r="E144" s="26">
        <v>0</v>
      </c>
    </row>
    <row r="145" spans="2:11">
      <c r="D145" s="38" t="str">
        <f t="shared" si="14"/>
        <v>Peat Surface Bund&gt;5m - &lt;10m</v>
      </c>
      <c r="E145" s="25">
        <v>0</v>
      </c>
    </row>
    <row r="146" spans="2:11">
      <c r="D146" s="35" t="str">
        <f t="shared" si="14"/>
        <v>Peat Surface Bund&gt;10m</v>
      </c>
      <c r="E146" s="26">
        <v>0</v>
      </c>
    </row>
    <row r="147" spans="2:11">
      <c r="D147" s="38" t="str">
        <f t="shared" si="14"/>
        <v>Peat Trench Bund&lt;1m</v>
      </c>
      <c r="E147" s="25">
        <v>0</v>
      </c>
    </row>
    <row r="148" spans="2:11">
      <c r="D148" s="35" t="str">
        <f t="shared" si="14"/>
        <v>Peat Trench Bund&gt;1m - &lt;2m</v>
      </c>
      <c r="E148" s="26">
        <v>0</v>
      </c>
    </row>
    <row r="149" spans="2:11">
      <c r="D149" s="38" t="str">
        <f t="shared" si="14"/>
        <v>Peat Trench Bund&gt;2m - &lt;3m</v>
      </c>
      <c r="E149" s="25">
        <v>0</v>
      </c>
    </row>
    <row r="150" spans="2:11">
      <c r="D150" s="35" t="str">
        <f t="shared" si="14"/>
        <v>Peat Trench Bund&gt;3m - &lt;4m</v>
      </c>
      <c r="E150" s="26">
        <v>0</v>
      </c>
    </row>
    <row r="151" spans="2:11">
      <c r="D151" s="38" t="str">
        <f t="shared" si="14"/>
        <v>Peat Trench Bund&gt;4m - &lt;5m</v>
      </c>
      <c r="E151" s="25">
        <v>0</v>
      </c>
    </row>
    <row r="152" spans="2:11">
      <c r="D152" s="35" t="str">
        <f t="shared" si="14"/>
        <v>Peat Trench Bund&gt;5m - &lt;10m</v>
      </c>
      <c r="E152" s="26">
        <v>0</v>
      </c>
    </row>
    <row r="153" spans="2:11">
      <c r="D153" s="39" t="str">
        <f t="shared" si="14"/>
        <v>Peat Trench Bund&gt;10m</v>
      </c>
      <c r="E153" s="57">
        <v>0</v>
      </c>
    </row>
    <row r="159" spans="2:11">
      <c r="B159" s="1" t="s">
        <v>308</v>
      </c>
    </row>
    <row r="160" spans="2:11">
      <c r="B160" s="12" t="s">
        <v>244</v>
      </c>
      <c r="C160" s="20" t="s">
        <v>249</v>
      </c>
      <c r="D160" s="20" t="s">
        <v>314</v>
      </c>
      <c r="E160" s="20" t="s">
        <v>315</v>
      </c>
      <c r="F160" s="20" t="s">
        <v>316</v>
      </c>
      <c r="G160" s="20" t="s">
        <v>317</v>
      </c>
      <c r="H160" s="20" t="s">
        <v>318</v>
      </c>
      <c r="I160" s="20" t="s">
        <v>319</v>
      </c>
      <c r="J160" s="20" t="s">
        <v>320</v>
      </c>
      <c r="K160" s="13" t="s">
        <v>321</v>
      </c>
    </row>
    <row r="161" spans="2:11">
      <c r="B161" s="35" t="s">
        <v>309</v>
      </c>
      <c r="C161" s="35" t="s">
        <v>309</v>
      </c>
      <c r="D161" s="40" t="s">
        <v>309</v>
      </c>
      <c r="E161" s="40" t="s">
        <v>309</v>
      </c>
      <c r="F161" s="35" t="s">
        <v>309</v>
      </c>
      <c r="G161" s="35" t="s">
        <v>309</v>
      </c>
      <c r="H161" s="35" t="s">
        <v>309</v>
      </c>
      <c r="I161" s="35" t="s">
        <v>309</v>
      </c>
      <c r="J161" s="35" t="s">
        <v>309</v>
      </c>
      <c r="K161" s="32" t="s">
        <v>309</v>
      </c>
    </row>
    <row r="162" spans="2:11">
      <c r="B162" s="38" t="s">
        <v>132</v>
      </c>
      <c r="C162" s="38" t="s">
        <v>132</v>
      </c>
      <c r="D162" s="29" t="s">
        <v>310</v>
      </c>
      <c r="E162" s="29" t="s">
        <v>310</v>
      </c>
      <c r="F162" s="38" t="s">
        <v>310</v>
      </c>
      <c r="G162" s="38" t="s">
        <v>310</v>
      </c>
      <c r="H162" s="38" t="s">
        <v>310</v>
      </c>
      <c r="I162" s="38" t="s">
        <v>310</v>
      </c>
      <c r="J162" s="38" t="s">
        <v>310</v>
      </c>
      <c r="K162" s="33" t="s">
        <v>310</v>
      </c>
    </row>
    <row r="163" spans="2:11">
      <c r="B163" s="28" t="s">
        <v>311</v>
      </c>
      <c r="C163" s="28" t="s">
        <v>310</v>
      </c>
      <c r="D163" s="7"/>
      <c r="E163" s="7"/>
      <c r="F163" s="28"/>
      <c r="G163" s="28"/>
      <c r="H163" s="28"/>
      <c r="I163" s="28"/>
      <c r="J163" s="28"/>
      <c r="K163" s="41"/>
    </row>
    <row r="169" spans="2:11">
      <c r="B169" s="1" t="s">
        <v>312</v>
      </c>
    </row>
    <row r="170" spans="2:11">
      <c r="B170" s="3" t="s">
        <v>328</v>
      </c>
      <c r="C170" s="3" t="s">
        <v>116</v>
      </c>
      <c r="D170" s="3" t="s">
        <v>247</v>
      </c>
      <c r="E170" s="3" t="s">
        <v>118</v>
      </c>
      <c r="F170" s="3" t="s">
        <v>305</v>
      </c>
    </row>
    <row r="171" spans="2:11">
      <c r="B171" s="3" t="str">
        <f>$B$4</f>
        <v>Coir Log</v>
      </c>
      <c r="C171" s="3" t="str">
        <f>$B$21</f>
        <v>&lt;1m</v>
      </c>
      <c r="D171" s="3" t="str">
        <f>B161</f>
        <v>Hand</v>
      </c>
      <c r="E171" s="3" t="str">
        <f>B171&amp;C171&amp;D171</f>
        <v>Coir Log&lt;1mHand</v>
      </c>
      <c r="F171" s="44">
        <v>0</v>
      </c>
    </row>
    <row r="172" spans="2:11">
      <c r="B172" s="3" t="str">
        <f t="shared" ref="B172:B185" si="16">$B$4</f>
        <v>Coir Log</v>
      </c>
      <c r="C172" s="3" t="str">
        <f t="shared" ref="C172:C173" si="17">$B$21</f>
        <v>&lt;1m</v>
      </c>
      <c r="D172" s="3" t="str">
        <f t="shared" ref="D172:D173" si="18">B162</f>
        <v>Helicopter - Assisted</v>
      </c>
      <c r="E172" s="3" t="str">
        <f t="shared" ref="E172:E194" si="19">B172&amp;C172&amp;D172</f>
        <v>Coir Log&lt;1mHelicopter - Assisted</v>
      </c>
      <c r="F172" s="44">
        <v>3.9384576000000009</v>
      </c>
    </row>
    <row r="173" spans="2:11">
      <c r="B173" s="3" t="str">
        <f t="shared" si="16"/>
        <v>Coir Log</v>
      </c>
      <c r="C173" s="3" t="str">
        <f t="shared" si="17"/>
        <v>&lt;1m</v>
      </c>
      <c r="D173" s="3" t="str">
        <f t="shared" si="18"/>
        <v>Machine - Assisted</v>
      </c>
      <c r="E173" s="3" t="str">
        <f t="shared" si="19"/>
        <v>Coir Log&lt;1mMachine - Assisted</v>
      </c>
      <c r="F173" s="44">
        <v>0.28301163839999999</v>
      </c>
    </row>
    <row r="174" spans="2:11">
      <c r="B174" s="3" t="str">
        <f t="shared" si="16"/>
        <v>Coir Log</v>
      </c>
      <c r="C174" s="3" t="str">
        <f>$B$22</f>
        <v>&gt;1m - &lt;2m</v>
      </c>
      <c r="D174" s="3" t="str">
        <f>B161</f>
        <v>Hand</v>
      </c>
      <c r="E174" s="3" t="str">
        <f t="shared" si="19"/>
        <v>Coir Log&gt;1m - &lt;2mHand</v>
      </c>
      <c r="F174" s="44">
        <v>0</v>
      </c>
    </row>
    <row r="175" spans="2:11">
      <c r="B175" s="3" t="str">
        <f t="shared" si="16"/>
        <v>Coir Log</v>
      </c>
      <c r="C175" s="3" t="str">
        <f t="shared" ref="C175:C176" si="20">$B$22</f>
        <v>&gt;1m - &lt;2m</v>
      </c>
      <c r="D175" s="3" t="str">
        <f t="shared" ref="D175:D176" si="21">B162</f>
        <v>Helicopter - Assisted</v>
      </c>
      <c r="E175" s="3" t="str">
        <f t="shared" si="19"/>
        <v>Coir Log&gt;1m - &lt;2mHelicopter - Assisted</v>
      </c>
      <c r="F175" s="44">
        <v>5.9673600000000011</v>
      </c>
    </row>
    <row r="176" spans="2:11">
      <c r="B176" s="3" t="str">
        <f t="shared" si="16"/>
        <v>Coir Log</v>
      </c>
      <c r="C176" s="3" t="str">
        <f t="shared" si="20"/>
        <v>&gt;1m - &lt;2m</v>
      </c>
      <c r="D176" s="3" t="str">
        <f t="shared" si="21"/>
        <v>Machine - Assisted</v>
      </c>
      <c r="E176" s="3" t="str">
        <f t="shared" si="19"/>
        <v>Coir Log&gt;1m - &lt;2mMachine - Assisted</v>
      </c>
      <c r="F176" s="44">
        <v>0.40513224000000003</v>
      </c>
    </row>
    <row r="177" spans="2:6">
      <c r="B177" s="3" t="str">
        <f t="shared" si="16"/>
        <v>Coir Log</v>
      </c>
      <c r="C177" s="3" t="str">
        <f>$B$23</f>
        <v>&gt;2m - &lt;3m</v>
      </c>
      <c r="D177" s="3" t="str">
        <f>B161</f>
        <v>Hand</v>
      </c>
      <c r="E177" s="3" t="str">
        <f t="shared" si="19"/>
        <v>Coir Log&gt;2m - &lt;3mHand</v>
      </c>
      <c r="F177" s="44">
        <v>0</v>
      </c>
    </row>
    <row r="178" spans="2:6">
      <c r="B178" s="3" t="str">
        <f t="shared" si="16"/>
        <v>Coir Log</v>
      </c>
      <c r="C178" s="3" t="str">
        <f t="shared" ref="C178:C179" si="22">$B$23</f>
        <v>&gt;2m - &lt;3m</v>
      </c>
      <c r="D178" s="3" t="str">
        <f t="shared" ref="D178:D179" si="23">B162</f>
        <v>Helicopter - Assisted</v>
      </c>
      <c r="E178" s="3" t="str">
        <f t="shared" si="19"/>
        <v>Coir Log&gt;2m - &lt;3mHelicopter - Assisted</v>
      </c>
      <c r="F178" s="44">
        <v>10.023300000000001</v>
      </c>
    </row>
    <row r="179" spans="2:6">
      <c r="B179" s="3" t="str">
        <f t="shared" si="16"/>
        <v>Coir Log</v>
      </c>
      <c r="C179" s="3" t="str">
        <f t="shared" si="22"/>
        <v>&gt;2m - &lt;3m</v>
      </c>
      <c r="D179" s="3" t="str">
        <f t="shared" si="23"/>
        <v>Machine - Assisted</v>
      </c>
      <c r="E179" s="3" t="str">
        <f t="shared" si="19"/>
        <v>Coir Log&gt;2m - &lt;3mMachine - Assisted</v>
      </c>
      <c r="F179" s="44">
        <v>0.64926119999999998</v>
      </c>
    </row>
    <row r="180" spans="2:6">
      <c r="B180" s="3" t="str">
        <f t="shared" si="16"/>
        <v>Coir Log</v>
      </c>
      <c r="C180" s="3" t="str">
        <f>$B$24</f>
        <v>&gt;3m - &lt;4m</v>
      </c>
      <c r="D180" s="3" t="str">
        <f>B161</f>
        <v>Hand</v>
      </c>
      <c r="E180" s="3" t="str">
        <f t="shared" si="19"/>
        <v>Coir Log&gt;3m - &lt;4mHand</v>
      </c>
      <c r="F180" s="44">
        <v>0</v>
      </c>
    </row>
    <row r="181" spans="2:6">
      <c r="B181" s="3" t="str">
        <f t="shared" si="16"/>
        <v>Coir Log</v>
      </c>
      <c r="C181" s="3" t="str">
        <f t="shared" ref="C181:C182" si="24">$B$24</f>
        <v>&gt;3m - &lt;4m</v>
      </c>
      <c r="D181" s="3" t="str">
        <f t="shared" ref="D181:D182" si="25">B162</f>
        <v>Helicopter - Assisted</v>
      </c>
      <c r="E181" s="3" t="str">
        <f t="shared" si="19"/>
        <v>Coir Log&gt;3m - &lt;4mHelicopter - Assisted</v>
      </c>
      <c r="F181" s="44">
        <v>14.079240000000002</v>
      </c>
    </row>
    <row r="182" spans="2:6">
      <c r="B182" s="3" t="str">
        <f t="shared" si="16"/>
        <v>Coir Log</v>
      </c>
      <c r="C182" s="3" t="str">
        <f t="shared" si="24"/>
        <v>&gt;3m - &lt;4m</v>
      </c>
      <c r="D182" s="3" t="str">
        <f t="shared" si="25"/>
        <v>Machine - Assisted</v>
      </c>
      <c r="E182" s="3" t="str">
        <f t="shared" si="19"/>
        <v>Coir Log&gt;3m - &lt;4mMachine - Assisted</v>
      </c>
      <c r="F182" s="44">
        <v>0.89339016000000004</v>
      </c>
    </row>
    <row r="183" spans="2:6">
      <c r="B183" s="3" t="str">
        <f t="shared" si="16"/>
        <v>Coir Log</v>
      </c>
      <c r="C183" s="3" t="str">
        <f>$B$25</f>
        <v>&gt;4m</v>
      </c>
      <c r="D183" s="3" t="str">
        <f>B161</f>
        <v>Hand</v>
      </c>
      <c r="E183" s="3" t="str">
        <f t="shared" si="19"/>
        <v>Coir Log&gt;4mHand</v>
      </c>
      <c r="F183" s="44">
        <v>0</v>
      </c>
    </row>
    <row r="184" spans="2:6">
      <c r="B184" s="3" t="str">
        <f t="shared" si="16"/>
        <v>Coir Log</v>
      </c>
      <c r="C184" s="3" t="str">
        <f t="shared" ref="C184:C185" si="26">$B$25</f>
        <v>&gt;4m</v>
      </c>
      <c r="D184" s="3" t="str">
        <f t="shared" ref="D184:D185" si="27">B162</f>
        <v>Helicopter - Assisted</v>
      </c>
      <c r="E184" s="3" t="str">
        <f t="shared" si="19"/>
        <v>Coir Log&gt;4mHelicopter - Assisted</v>
      </c>
      <c r="F184" s="44">
        <v>16.107210000000002</v>
      </c>
    </row>
    <row r="185" spans="2:6">
      <c r="B185" s="3" t="str">
        <f t="shared" si="16"/>
        <v>Coir Log</v>
      </c>
      <c r="C185" s="3" t="str">
        <f t="shared" si="26"/>
        <v>&gt;4m</v>
      </c>
      <c r="D185" s="3" t="str">
        <f t="shared" si="27"/>
        <v>Machine - Assisted</v>
      </c>
      <c r="E185" s="3" t="str">
        <f t="shared" si="19"/>
        <v>Coir Log&gt;4mMachine - Assisted</v>
      </c>
      <c r="F185" s="44">
        <v>1.01545464</v>
      </c>
    </row>
    <row r="186" spans="2:6">
      <c r="B186" s="3" t="str">
        <f>$B$5</f>
        <v>Heather Bale Bund</v>
      </c>
      <c r="C186" s="3" t="str">
        <f>$C$21</f>
        <v>&lt;1m</v>
      </c>
      <c r="D186" s="3" t="str">
        <f>C161</f>
        <v>Hand</v>
      </c>
      <c r="E186" s="3" t="str">
        <f t="shared" si="19"/>
        <v>Heather Bale Bund&lt;1mHand</v>
      </c>
      <c r="F186" s="44">
        <v>0</v>
      </c>
    </row>
    <row r="187" spans="2:6">
      <c r="B187" s="3" t="str">
        <f t="shared" ref="B187:B200" si="28">$B$5</f>
        <v>Heather Bale Bund</v>
      </c>
      <c r="C187" s="3" t="str">
        <f t="shared" ref="C187:C188" si="29">$C$21</f>
        <v>&lt;1m</v>
      </c>
      <c r="D187" s="3" t="str">
        <f t="shared" ref="D187:D188" si="30">C162</f>
        <v>Helicopter - Assisted</v>
      </c>
      <c r="E187" s="3" t="str">
        <f t="shared" si="19"/>
        <v>Heather Bale Bund&lt;1mHelicopter - Assisted</v>
      </c>
      <c r="F187" s="44">
        <f>0.66*F190</f>
        <v>4.407416515656001</v>
      </c>
    </row>
    <row r="188" spans="2:6">
      <c r="B188" s="3" t="str">
        <f t="shared" si="28"/>
        <v>Heather Bale Bund</v>
      </c>
      <c r="C188" s="3" t="str">
        <f t="shared" si="29"/>
        <v>&lt;1m</v>
      </c>
      <c r="D188" s="3" t="str">
        <f t="shared" si="30"/>
        <v>Machine</v>
      </c>
      <c r="E188" s="3" t="str">
        <f t="shared" si="19"/>
        <v>Heather Bale Bund&lt;1mMachine</v>
      </c>
      <c r="F188" s="44">
        <f>0.66*F191</f>
        <v>0.59769922471776005</v>
      </c>
    </row>
    <row r="189" spans="2:6">
      <c r="B189" s="3" t="str">
        <f t="shared" si="28"/>
        <v>Heather Bale Bund</v>
      </c>
      <c r="C189" s="3" t="str">
        <f>$C$22</f>
        <v>&gt;1m - &lt;2m</v>
      </c>
      <c r="D189" s="3" t="str">
        <f>C161</f>
        <v>Hand</v>
      </c>
      <c r="E189" s="3" t="str">
        <f t="shared" si="19"/>
        <v>Heather Bale Bund&gt;1m - &lt;2mHand</v>
      </c>
      <c r="F189" s="44">
        <v>0</v>
      </c>
    </row>
    <row r="190" spans="2:6">
      <c r="B190" s="3" t="str">
        <f t="shared" si="28"/>
        <v>Heather Bale Bund</v>
      </c>
      <c r="C190" s="3" t="str">
        <f t="shared" ref="C190:C191" si="31">$C$22</f>
        <v>&gt;1m - &lt;2m</v>
      </c>
      <c r="D190" s="3" t="str">
        <f t="shared" ref="D190:D191" si="32">C162</f>
        <v>Helicopter - Assisted</v>
      </c>
      <c r="E190" s="3" t="str">
        <f t="shared" si="19"/>
        <v>Heather Bale Bund&gt;1m - &lt;2mHelicopter - Assisted</v>
      </c>
      <c r="F190" s="44">
        <f>'GullyGrip Blocking Data'!F170</f>
        <v>6.6779038116000011</v>
      </c>
    </row>
    <row r="191" spans="2:6">
      <c r="B191" s="3" t="str">
        <f t="shared" si="28"/>
        <v>Heather Bale Bund</v>
      </c>
      <c r="C191" s="3" t="str">
        <f t="shared" si="31"/>
        <v>&gt;1m - &lt;2m</v>
      </c>
      <c r="D191" s="3" t="str">
        <f t="shared" si="32"/>
        <v>Machine</v>
      </c>
      <c r="E191" s="3" t="str">
        <f t="shared" si="19"/>
        <v>Heather Bale Bund&gt;1m - &lt;2mMachine</v>
      </c>
      <c r="F191" s="44">
        <f>'GullyGrip Blocking Data'!F171</f>
        <v>0.90560488593599997</v>
      </c>
    </row>
    <row r="192" spans="2:6">
      <c r="B192" s="3" t="str">
        <f t="shared" si="28"/>
        <v>Heather Bale Bund</v>
      </c>
      <c r="C192" s="3" t="str">
        <f>$C$23</f>
        <v>&gt;2m - &lt;3m</v>
      </c>
      <c r="D192" s="3" t="str">
        <f>C161</f>
        <v>Hand</v>
      </c>
      <c r="E192" s="3" t="str">
        <f t="shared" si="19"/>
        <v>Heather Bale Bund&gt;2m - &lt;3mHand</v>
      </c>
      <c r="F192" s="44">
        <v>0</v>
      </c>
    </row>
    <row r="193" spans="2:6">
      <c r="B193" s="3" t="str">
        <f t="shared" si="28"/>
        <v>Heather Bale Bund</v>
      </c>
      <c r="C193" s="3" t="str">
        <f t="shared" ref="C193:C194" si="33">$C$23</f>
        <v>&gt;2m - &lt;3m</v>
      </c>
      <c r="D193" s="3" t="str">
        <f t="shared" ref="D193:D194" si="34">C162</f>
        <v>Helicopter - Assisted</v>
      </c>
      <c r="E193" s="3" t="str">
        <f t="shared" si="19"/>
        <v>Heather Bale Bund&gt;2m - &lt;3mHelicopter - Assisted</v>
      </c>
      <c r="F193" s="44">
        <f>'GullyGrip Blocking Data'!F173</f>
        <v>7.9487100000000002</v>
      </c>
    </row>
    <row r="194" spans="2:6">
      <c r="B194" s="3" t="str">
        <f t="shared" si="28"/>
        <v>Heather Bale Bund</v>
      </c>
      <c r="C194" s="3" t="str">
        <f t="shared" si="33"/>
        <v>&gt;2m - &lt;3m</v>
      </c>
      <c r="D194" s="3" t="str">
        <f t="shared" si="34"/>
        <v>Machine</v>
      </c>
      <c r="E194" s="3" t="str">
        <f t="shared" si="19"/>
        <v>Heather Bale Bund&gt;2m - &lt;3mMachine</v>
      </c>
      <c r="F194" s="44">
        <f>'GullyGrip Blocking Data'!F174</f>
        <v>1.1197005120000001</v>
      </c>
    </row>
    <row r="195" spans="2:6">
      <c r="B195" s="3" t="str">
        <f t="shared" si="28"/>
        <v>Heather Bale Bund</v>
      </c>
      <c r="C195" s="3" t="str">
        <f>$C$24</f>
        <v>&gt;3m - &lt;4m</v>
      </c>
      <c r="D195" s="3" t="str">
        <f>C161</f>
        <v>Hand</v>
      </c>
      <c r="E195" s="3" t="str">
        <f t="shared" ref="E195:E238" si="35">B195&amp;C195&amp;D195</f>
        <v>Heather Bale Bund&gt;3m - &lt;4mHand</v>
      </c>
      <c r="F195" s="44">
        <v>0</v>
      </c>
    </row>
    <row r="196" spans="2:6">
      <c r="B196" s="3" t="str">
        <f t="shared" si="28"/>
        <v>Heather Bale Bund</v>
      </c>
      <c r="C196" s="3" t="str">
        <f t="shared" ref="C196:C197" si="36">$C$24</f>
        <v>&gt;3m - &lt;4m</v>
      </c>
      <c r="D196" s="3" t="str">
        <f t="shared" ref="D196:D197" si="37">C162</f>
        <v>Helicopter - Assisted</v>
      </c>
      <c r="E196" s="3" t="str">
        <f t="shared" si="35"/>
        <v>Heather Bale Bund&gt;3m - &lt;4mHelicopter - Assisted</v>
      </c>
      <c r="F196" s="44">
        <f>'GullyGrip Blocking Data'!F176</f>
        <v>10.596726</v>
      </c>
    </row>
    <row r="197" spans="2:6">
      <c r="B197" s="3" t="str">
        <f t="shared" si="28"/>
        <v>Heather Bale Bund</v>
      </c>
      <c r="C197" s="3" t="str">
        <f t="shared" si="36"/>
        <v>&gt;3m - &lt;4m</v>
      </c>
      <c r="D197" s="3" t="str">
        <f t="shared" si="37"/>
        <v>Machine</v>
      </c>
      <c r="E197" s="3" t="str">
        <f t="shared" si="35"/>
        <v>Heather Bale Bund&gt;3m - &lt;4mMachine</v>
      </c>
      <c r="F197" s="44">
        <f>'GullyGrip Blocking Data'!F177</f>
        <v>1.5479083200000001</v>
      </c>
    </row>
    <row r="198" spans="2:6">
      <c r="B198" s="3" t="str">
        <f t="shared" si="28"/>
        <v>Heather Bale Bund</v>
      </c>
      <c r="C198" s="3" t="str">
        <f>$C$25</f>
        <v>&gt;4m</v>
      </c>
      <c r="D198" s="3" t="str">
        <f>C161</f>
        <v>Hand</v>
      </c>
      <c r="E198" s="3" t="str">
        <f t="shared" si="35"/>
        <v>Heather Bale Bund&gt;4mHand</v>
      </c>
      <c r="F198" s="44">
        <v>0</v>
      </c>
    </row>
    <row r="199" spans="2:6">
      <c r="B199" s="3" t="str">
        <f t="shared" si="28"/>
        <v>Heather Bale Bund</v>
      </c>
      <c r="C199" s="3" t="str">
        <f t="shared" ref="C199:C200" si="38">$C$25</f>
        <v>&gt;4m</v>
      </c>
      <c r="D199" s="3" t="str">
        <f t="shared" ref="D199:D200" si="39">C162</f>
        <v>Helicopter - Assisted</v>
      </c>
      <c r="E199" s="3" t="str">
        <f t="shared" si="35"/>
        <v>Heather Bale Bund&gt;4mHelicopter - Assisted</v>
      </c>
      <c r="F199" s="44">
        <f>'GullyGrip Blocking Data'!F179</f>
        <v>16.689959999999999</v>
      </c>
    </row>
    <row r="200" spans="2:6">
      <c r="B200" s="3" t="str">
        <f t="shared" si="28"/>
        <v>Heather Bale Bund</v>
      </c>
      <c r="C200" s="3" t="str">
        <f t="shared" si="38"/>
        <v>&gt;4m</v>
      </c>
      <c r="D200" s="3" t="str">
        <f t="shared" si="39"/>
        <v>Machine</v>
      </c>
      <c r="E200" s="3" t="str">
        <f t="shared" si="35"/>
        <v>Heather Bale Bund&gt;4mMachine</v>
      </c>
      <c r="F200" s="44">
        <f>'GullyGrip Blocking Data'!F180</f>
        <v>1.9761161280000001</v>
      </c>
    </row>
    <row r="201" spans="2:6">
      <c r="B201" s="3" t="str">
        <f>$B$6</f>
        <v>Peat Arc Bund</v>
      </c>
      <c r="C201" s="3" t="str">
        <f>$D$21</f>
        <v>&lt;1m</v>
      </c>
      <c r="D201" s="3" t="str">
        <f>D161</f>
        <v>Hand</v>
      </c>
      <c r="E201" s="3" t="str">
        <f t="shared" ref="E201:E214" si="40">B201&amp;C201&amp;D201</f>
        <v>Peat Arc Bund&lt;1mHand</v>
      </c>
      <c r="F201" s="44">
        <v>0</v>
      </c>
    </row>
    <row r="202" spans="2:6">
      <c r="B202" s="3" t="str">
        <f t="shared" ref="B202:B214" si="41">$B$6</f>
        <v>Peat Arc Bund</v>
      </c>
      <c r="C202" s="3" t="str">
        <f>$D$21</f>
        <v>&lt;1m</v>
      </c>
      <c r="D202" s="3" t="str">
        <f>D162</f>
        <v>Machine</v>
      </c>
      <c r="E202" s="3" t="str">
        <f t="shared" si="40"/>
        <v>Peat Arc Bund&lt;1mMachine</v>
      </c>
      <c r="F202" s="44">
        <v>0.35431413120000005</v>
      </c>
    </row>
    <row r="203" spans="2:6">
      <c r="B203" s="3" t="str">
        <f t="shared" si="41"/>
        <v>Peat Arc Bund</v>
      </c>
      <c r="C203" s="3" t="str">
        <f>$D$22</f>
        <v>&gt;1m - &lt;2m</v>
      </c>
      <c r="D203" s="3" t="str">
        <f>D161</f>
        <v>Hand</v>
      </c>
      <c r="E203" s="3" t="str">
        <f t="shared" si="40"/>
        <v>Peat Arc Bund&gt;1m - &lt;2mHand</v>
      </c>
      <c r="F203" s="44">
        <v>0</v>
      </c>
    </row>
    <row r="204" spans="2:6">
      <c r="B204" s="3" t="str">
        <f t="shared" si="41"/>
        <v>Peat Arc Bund</v>
      </c>
      <c r="C204" s="3" t="str">
        <f>$D$22</f>
        <v>&gt;1m - &lt;2m</v>
      </c>
      <c r="D204" s="3" t="str">
        <f>D162</f>
        <v>Machine</v>
      </c>
      <c r="E204" s="3" t="str">
        <f t="shared" si="40"/>
        <v>Peat Arc Bund&gt;1m - &lt;2mMachine</v>
      </c>
      <c r="F204" s="44">
        <v>0.51316632000000006</v>
      </c>
    </row>
    <row r="205" spans="2:6">
      <c r="B205" s="3" t="str">
        <f t="shared" si="41"/>
        <v>Peat Arc Bund</v>
      </c>
      <c r="C205" s="3" t="str">
        <f>$D$23</f>
        <v>&gt;2m - &lt;3m</v>
      </c>
      <c r="D205" s="3" t="str">
        <f>D161</f>
        <v>Hand</v>
      </c>
      <c r="E205" s="3" t="str">
        <f t="shared" si="40"/>
        <v>Peat Arc Bund&gt;2m - &lt;3mHand</v>
      </c>
      <c r="F205" s="44">
        <v>0</v>
      </c>
    </row>
    <row r="206" spans="2:6">
      <c r="B206" s="3" t="str">
        <f t="shared" si="41"/>
        <v>Peat Arc Bund</v>
      </c>
      <c r="C206" s="3" t="str">
        <f>$D$23</f>
        <v>&gt;2m - &lt;3m</v>
      </c>
      <c r="D206" s="3" t="str">
        <f>D162</f>
        <v>Machine</v>
      </c>
      <c r="E206" s="3" t="str">
        <f t="shared" si="40"/>
        <v>Peat Arc Bund&gt;2m - &lt;3mMachine</v>
      </c>
      <c r="F206" s="44">
        <v>1.2245076000000001</v>
      </c>
    </row>
    <row r="207" spans="2:6">
      <c r="B207" s="3" t="str">
        <f t="shared" si="41"/>
        <v>Peat Arc Bund</v>
      </c>
      <c r="C207" s="3" t="str">
        <f>$D$24</f>
        <v>&gt;3m - &lt;4m</v>
      </c>
      <c r="D207" s="3" t="str">
        <f>D161</f>
        <v>Hand</v>
      </c>
      <c r="E207" s="3" t="str">
        <f t="shared" si="40"/>
        <v>Peat Arc Bund&gt;3m - &lt;4mHand</v>
      </c>
      <c r="F207" s="44">
        <v>0</v>
      </c>
    </row>
    <row r="208" spans="2:6">
      <c r="B208" s="3" t="str">
        <f t="shared" si="41"/>
        <v>Peat Arc Bund</v>
      </c>
      <c r="C208" s="3" t="str">
        <f>$D$24</f>
        <v>&gt;3m - &lt;4m</v>
      </c>
      <c r="D208" s="3" t="str">
        <f>D162</f>
        <v>Machine</v>
      </c>
      <c r="E208" s="3" t="str">
        <f t="shared" si="40"/>
        <v>Peat Arc Bund&gt;3m - &lt;4mMachine</v>
      </c>
      <c r="F208" s="44">
        <v>1.7015412000000001</v>
      </c>
    </row>
    <row r="209" spans="2:6">
      <c r="B209" s="3" t="str">
        <f t="shared" si="41"/>
        <v>Peat Arc Bund</v>
      </c>
      <c r="C209" s="3" t="str">
        <f>$D$25</f>
        <v>&gt;4m - &lt;5m</v>
      </c>
      <c r="D209" s="3" t="str">
        <f>D161</f>
        <v>Hand</v>
      </c>
      <c r="E209" s="3" t="str">
        <f t="shared" si="40"/>
        <v>Peat Arc Bund&gt;4m - &lt;5mHand</v>
      </c>
      <c r="F209" s="44">
        <v>0</v>
      </c>
    </row>
    <row r="210" spans="2:6">
      <c r="B210" s="3" t="str">
        <f t="shared" si="41"/>
        <v>Peat Arc Bund</v>
      </c>
      <c r="C210" s="3" t="str">
        <f>$D$25</f>
        <v>&gt;4m - &lt;5m</v>
      </c>
      <c r="D210" s="3" t="str">
        <f>D162</f>
        <v>Machine</v>
      </c>
      <c r="E210" s="3" t="str">
        <f t="shared" si="40"/>
        <v>Peat Arc Bund&gt;4m - &lt;5mMachine</v>
      </c>
      <c r="F210" s="44">
        <v>2.2873104</v>
      </c>
    </row>
    <row r="211" spans="2:6">
      <c r="B211" s="3" t="str">
        <f t="shared" si="41"/>
        <v>Peat Arc Bund</v>
      </c>
      <c r="C211" s="3" t="str">
        <f>$D$26</f>
        <v>&gt;5m - &lt;10m</v>
      </c>
      <c r="D211" s="3" t="str">
        <f>D161</f>
        <v>Hand</v>
      </c>
      <c r="E211" s="3" t="str">
        <f t="shared" si="40"/>
        <v>Peat Arc Bund&gt;5m - &lt;10mHand</v>
      </c>
      <c r="F211" s="44">
        <v>0</v>
      </c>
    </row>
    <row r="212" spans="2:6">
      <c r="B212" s="3" t="str">
        <f t="shared" si="41"/>
        <v>Peat Arc Bund</v>
      </c>
      <c r="C212" s="3" t="str">
        <f>$D$26</f>
        <v>&gt;5m - &lt;10m</v>
      </c>
      <c r="D212" s="3" t="str">
        <f>D162</f>
        <v>Machine</v>
      </c>
      <c r="E212" s="3" t="str">
        <f t="shared" si="40"/>
        <v>Peat Arc Bund&gt;5m - &lt;10mMachine</v>
      </c>
      <c r="F212" s="44">
        <v>3.9785348159999998</v>
      </c>
    </row>
    <row r="213" spans="2:6">
      <c r="B213" s="3" t="str">
        <f t="shared" si="41"/>
        <v>Peat Arc Bund</v>
      </c>
      <c r="C213" s="3" t="str">
        <f>$D$27</f>
        <v>&gt;10m</v>
      </c>
      <c r="D213" s="3" t="str">
        <f>D161</f>
        <v>Hand</v>
      </c>
      <c r="E213" s="3" t="str">
        <f t="shared" si="40"/>
        <v>Peat Arc Bund&gt;10mHand</v>
      </c>
      <c r="F213" s="44">
        <v>0</v>
      </c>
    </row>
    <row r="214" spans="2:6">
      <c r="B214" s="3" t="str">
        <f t="shared" si="41"/>
        <v>Peat Arc Bund</v>
      </c>
      <c r="C214" s="3" t="str">
        <f>$D$27</f>
        <v>&gt;10m</v>
      </c>
      <c r="D214" s="3" t="str">
        <f>D162</f>
        <v>Machine</v>
      </c>
      <c r="E214" s="3" t="str">
        <f t="shared" si="40"/>
        <v>Peat Arc Bund&gt;10mMachine</v>
      </c>
      <c r="F214" s="44">
        <v>5.3878884960000004</v>
      </c>
    </row>
    <row r="215" spans="2:6">
      <c r="B215" s="3" t="str">
        <f>$B$7</f>
        <v>Peat Bund (Gully/Drain/Deep)</v>
      </c>
      <c r="C215" s="3" t="str">
        <f>$E$21</f>
        <v>&lt;1m</v>
      </c>
      <c r="D215" s="3" t="str">
        <f>E161</f>
        <v>Hand</v>
      </c>
      <c r="E215" s="3" t="str">
        <f t="shared" si="35"/>
        <v>Peat Bund (Gully/Drain/Deep)&lt;1mHand</v>
      </c>
      <c r="F215" s="44">
        <v>0</v>
      </c>
    </row>
    <row r="216" spans="2:6">
      <c r="B216" s="3" t="str">
        <f t="shared" ref="B216:B228" si="42">$B$7</f>
        <v>Peat Bund (Gully/Drain/Deep)</v>
      </c>
      <c r="C216" s="3" t="str">
        <f>$E$21</f>
        <v>&lt;1m</v>
      </c>
      <c r="D216" s="3" t="str">
        <f>E162</f>
        <v>Machine</v>
      </c>
      <c r="E216" s="3" t="str">
        <f t="shared" si="35"/>
        <v>Peat Bund (Gully/Drain/Deep)&lt;1mMachine</v>
      </c>
      <c r="F216" s="44">
        <v>0.35431413120000005</v>
      </c>
    </row>
    <row r="217" spans="2:6">
      <c r="B217" s="3" t="str">
        <f t="shared" si="42"/>
        <v>Peat Bund (Gully/Drain/Deep)</v>
      </c>
      <c r="C217" s="3" t="str">
        <f>$E$22</f>
        <v>&gt;1m - &lt;2m</v>
      </c>
      <c r="D217" s="3" t="str">
        <f>E161</f>
        <v>Hand</v>
      </c>
      <c r="E217" s="3" t="str">
        <f t="shared" si="35"/>
        <v>Peat Bund (Gully/Drain/Deep)&gt;1m - &lt;2mHand</v>
      </c>
      <c r="F217" s="44">
        <v>0</v>
      </c>
    </row>
    <row r="218" spans="2:6">
      <c r="B218" s="3" t="str">
        <f t="shared" si="42"/>
        <v>Peat Bund (Gully/Drain/Deep)</v>
      </c>
      <c r="C218" s="3" t="str">
        <f>$E$22</f>
        <v>&gt;1m - &lt;2m</v>
      </c>
      <c r="D218" s="3" t="str">
        <f>E162</f>
        <v>Machine</v>
      </c>
      <c r="E218" s="3" t="str">
        <f t="shared" si="35"/>
        <v>Peat Bund (Gully/Drain/Deep)&gt;1m - &lt;2mMachine</v>
      </c>
      <c r="F218" s="44">
        <v>0.51316632000000006</v>
      </c>
    </row>
    <row r="219" spans="2:6">
      <c r="B219" s="3" t="str">
        <f t="shared" si="42"/>
        <v>Peat Bund (Gully/Drain/Deep)</v>
      </c>
      <c r="C219" s="3" t="str">
        <f>$E$23</f>
        <v>&gt;2m - &lt;3m</v>
      </c>
      <c r="D219" s="3" t="str">
        <f>E161</f>
        <v>Hand</v>
      </c>
      <c r="E219" s="3" t="str">
        <f t="shared" si="35"/>
        <v>Peat Bund (Gully/Drain/Deep)&gt;2m - &lt;3mHand</v>
      </c>
      <c r="F219" s="44">
        <v>0</v>
      </c>
    </row>
    <row r="220" spans="2:6">
      <c r="B220" s="3" t="str">
        <f t="shared" si="42"/>
        <v>Peat Bund (Gully/Drain/Deep)</v>
      </c>
      <c r="C220" s="3" t="str">
        <f>$E$23</f>
        <v>&gt;2m - &lt;3m</v>
      </c>
      <c r="D220" s="3" t="str">
        <f>E162</f>
        <v>Machine</v>
      </c>
      <c r="E220" s="3" t="str">
        <f t="shared" si="35"/>
        <v>Peat Bund (Gully/Drain/Deep)&gt;2m - &lt;3mMachine</v>
      </c>
      <c r="F220" s="44">
        <v>1.2245076000000001</v>
      </c>
    </row>
    <row r="221" spans="2:6">
      <c r="B221" s="3" t="str">
        <f t="shared" si="42"/>
        <v>Peat Bund (Gully/Drain/Deep)</v>
      </c>
      <c r="C221" s="3" t="str">
        <f>$E$24</f>
        <v>&gt;3m - &lt;4m</v>
      </c>
      <c r="D221" s="3" t="str">
        <f>E161</f>
        <v>Hand</v>
      </c>
      <c r="E221" s="3" t="str">
        <f t="shared" si="35"/>
        <v>Peat Bund (Gully/Drain/Deep)&gt;3m - &lt;4mHand</v>
      </c>
      <c r="F221" s="44">
        <v>0</v>
      </c>
    </row>
    <row r="222" spans="2:6">
      <c r="B222" s="3" t="str">
        <f t="shared" si="42"/>
        <v>Peat Bund (Gully/Drain/Deep)</v>
      </c>
      <c r="C222" s="3" t="str">
        <f>$E$24</f>
        <v>&gt;3m - &lt;4m</v>
      </c>
      <c r="D222" s="3" t="str">
        <f>E162</f>
        <v>Machine</v>
      </c>
      <c r="E222" s="3" t="str">
        <f t="shared" si="35"/>
        <v>Peat Bund (Gully/Drain/Deep)&gt;3m - &lt;4mMachine</v>
      </c>
      <c r="F222" s="44">
        <v>1.7015412000000001</v>
      </c>
    </row>
    <row r="223" spans="2:6">
      <c r="B223" s="3" t="str">
        <f t="shared" si="42"/>
        <v>Peat Bund (Gully/Drain/Deep)</v>
      </c>
      <c r="C223" s="3" t="str">
        <f>$E$25</f>
        <v>&gt;4m - &lt;5m</v>
      </c>
      <c r="D223" s="3" t="str">
        <f>E161</f>
        <v>Hand</v>
      </c>
      <c r="E223" s="3" t="str">
        <f t="shared" si="35"/>
        <v>Peat Bund (Gully/Drain/Deep)&gt;4m - &lt;5mHand</v>
      </c>
      <c r="F223" s="44">
        <v>0</v>
      </c>
    </row>
    <row r="224" spans="2:6">
      <c r="B224" s="3" t="str">
        <f t="shared" si="42"/>
        <v>Peat Bund (Gully/Drain/Deep)</v>
      </c>
      <c r="C224" s="3" t="str">
        <f>$E$25</f>
        <v>&gt;4m - &lt;5m</v>
      </c>
      <c r="D224" s="3" t="str">
        <f>E162</f>
        <v>Machine</v>
      </c>
      <c r="E224" s="3" t="str">
        <f t="shared" si="35"/>
        <v>Peat Bund (Gully/Drain/Deep)&gt;4m - &lt;5mMachine</v>
      </c>
      <c r="F224" s="44">
        <v>2.2873104</v>
      </c>
    </row>
    <row r="225" spans="2:6">
      <c r="B225" s="3" t="str">
        <f t="shared" si="42"/>
        <v>Peat Bund (Gully/Drain/Deep)</v>
      </c>
      <c r="C225" s="3" t="str">
        <f>$E$26</f>
        <v>&gt;5m - &lt;10m</v>
      </c>
      <c r="D225" s="3" t="str">
        <f>E161</f>
        <v>Hand</v>
      </c>
      <c r="E225" s="3" t="str">
        <f t="shared" si="35"/>
        <v>Peat Bund (Gully/Drain/Deep)&gt;5m - &lt;10mHand</v>
      </c>
      <c r="F225" s="44">
        <v>0</v>
      </c>
    </row>
    <row r="226" spans="2:6">
      <c r="B226" s="3" t="str">
        <f t="shared" si="42"/>
        <v>Peat Bund (Gully/Drain/Deep)</v>
      </c>
      <c r="C226" s="3" t="str">
        <f>$E$26</f>
        <v>&gt;5m - &lt;10m</v>
      </c>
      <c r="D226" s="3" t="str">
        <f>E162</f>
        <v>Machine</v>
      </c>
      <c r="E226" s="3" t="str">
        <f t="shared" si="35"/>
        <v>Peat Bund (Gully/Drain/Deep)&gt;5m - &lt;10mMachine</v>
      </c>
      <c r="F226" s="44">
        <v>3.9785348159999998</v>
      </c>
    </row>
    <row r="227" spans="2:6">
      <c r="B227" s="3" t="str">
        <f t="shared" si="42"/>
        <v>Peat Bund (Gully/Drain/Deep)</v>
      </c>
      <c r="C227" s="3" t="str">
        <f>$E$27</f>
        <v>&gt;10m</v>
      </c>
      <c r="D227" s="3" t="str">
        <f>E161</f>
        <v>Hand</v>
      </c>
      <c r="E227" s="3" t="str">
        <f t="shared" si="35"/>
        <v>Peat Bund (Gully/Drain/Deep)&gt;10mHand</v>
      </c>
      <c r="F227" s="44">
        <v>0</v>
      </c>
    </row>
    <row r="228" spans="2:6">
      <c r="B228" s="3" t="str">
        <f t="shared" si="42"/>
        <v>Peat Bund (Gully/Drain/Deep)</v>
      </c>
      <c r="C228" s="3" t="str">
        <f>$E$27</f>
        <v>&gt;10m</v>
      </c>
      <c r="D228" s="3" t="str">
        <f>E162</f>
        <v>Machine</v>
      </c>
      <c r="E228" s="3" t="str">
        <f t="shared" si="35"/>
        <v>Peat Bund (Gully/Drain/Deep)&gt;10mMachine</v>
      </c>
      <c r="F228" s="44">
        <v>5.3878884960000004</v>
      </c>
    </row>
    <row r="229" spans="2:6">
      <c r="B229" s="3" t="str">
        <f>$B$8</f>
        <v>Peat Cell Bund</v>
      </c>
      <c r="C229" s="3" t="str">
        <f>$F$21</f>
        <v>10m2</v>
      </c>
      <c r="D229" s="3" t="str">
        <f>F161</f>
        <v>Hand</v>
      </c>
      <c r="E229" s="3" t="str">
        <f t="shared" si="35"/>
        <v>Peat Cell Bund10m2Hand</v>
      </c>
      <c r="F229" s="44">
        <v>0</v>
      </c>
    </row>
    <row r="230" spans="2:6">
      <c r="B230" s="3" t="str">
        <f t="shared" ref="B230:B234" si="43">$B$8</f>
        <v>Peat Cell Bund</v>
      </c>
      <c r="C230" s="3" t="str">
        <f>$F$21</f>
        <v>10m2</v>
      </c>
      <c r="D230" s="3" t="str">
        <f>F162</f>
        <v>Machine</v>
      </c>
      <c r="E230" s="3" t="str">
        <f t="shared" si="35"/>
        <v>Peat Cell Bund10m2Machine</v>
      </c>
      <c r="F230" s="44">
        <f>F228</f>
        <v>5.3878884960000004</v>
      </c>
    </row>
    <row r="231" spans="2:6">
      <c r="B231" s="3" t="str">
        <f t="shared" si="43"/>
        <v>Peat Cell Bund</v>
      </c>
      <c r="C231" s="3" t="str">
        <f>$F$22</f>
        <v>15m2</v>
      </c>
      <c r="D231" s="3" t="str">
        <f>F161</f>
        <v>Hand</v>
      </c>
      <c r="E231" s="3" t="str">
        <f t="shared" si="35"/>
        <v>Peat Cell Bund15m2Hand</v>
      </c>
      <c r="F231" s="44">
        <v>0</v>
      </c>
    </row>
    <row r="232" spans="2:6">
      <c r="B232" s="3" t="str">
        <f t="shared" si="43"/>
        <v>Peat Cell Bund</v>
      </c>
      <c r="C232" s="3" t="str">
        <f>$F$22</f>
        <v>15m2</v>
      </c>
      <c r="D232" s="3" t="str">
        <f>F162</f>
        <v>Machine</v>
      </c>
      <c r="E232" s="3" t="str">
        <f t="shared" si="35"/>
        <v>Peat Cell Bund15m2Machine</v>
      </c>
      <c r="F232" s="44">
        <f>1.5*F230</f>
        <v>8.0818327439999997</v>
      </c>
    </row>
    <row r="233" spans="2:6">
      <c r="B233" s="3" t="str">
        <f t="shared" si="43"/>
        <v>Peat Cell Bund</v>
      </c>
      <c r="C233" s="3" t="str">
        <f>$F$23</f>
        <v>20m2</v>
      </c>
      <c r="D233" s="3" t="str">
        <f>F161</f>
        <v>Hand</v>
      </c>
      <c r="E233" s="3" t="str">
        <f t="shared" si="35"/>
        <v>Peat Cell Bund20m2Hand</v>
      </c>
      <c r="F233" s="44">
        <v>0</v>
      </c>
    </row>
    <row r="234" spans="2:6">
      <c r="B234" s="3" t="str">
        <f t="shared" si="43"/>
        <v>Peat Cell Bund</v>
      </c>
      <c r="C234" s="3" t="str">
        <f>$F$23</f>
        <v>20m2</v>
      </c>
      <c r="D234" s="3" t="str">
        <f>F162</f>
        <v>Machine</v>
      </c>
      <c r="E234" s="3" t="str">
        <f t="shared" si="35"/>
        <v>Peat Cell Bund20m2Machine</v>
      </c>
      <c r="F234" s="44">
        <f>2*F230</f>
        <v>10.775776992000001</v>
      </c>
    </row>
    <row r="235" spans="2:6">
      <c r="B235" s="3" t="str">
        <f>$B$9</f>
        <v>Peat Finger Tie Back Bund</v>
      </c>
      <c r="C235" s="3" t="str">
        <f>$G$21</f>
        <v>&lt;1m</v>
      </c>
      <c r="D235" s="3" t="str">
        <f>G161</f>
        <v>Hand</v>
      </c>
      <c r="E235" s="3" t="str">
        <f t="shared" si="35"/>
        <v>Peat Finger Tie Back Bund&lt;1mHand</v>
      </c>
      <c r="F235" s="44">
        <v>0</v>
      </c>
    </row>
    <row r="236" spans="2:6">
      <c r="B236" s="3" t="str">
        <f t="shared" ref="B236:B248" si="44">$B$9</f>
        <v>Peat Finger Tie Back Bund</v>
      </c>
      <c r="C236" s="3" t="str">
        <f>$G$21</f>
        <v>&lt;1m</v>
      </c>
      <c r="D236" s="3" t="str">
        <f>G162</f>
        <v>Machine</v>
      </c>
      <c r="E236" s="3" t="str">
        <f t="shared" si="35"/>
        <v>Peat Finger Tie Back Bund&lt;1mMachine</v>
      </c>
      <c r="F236" s="44">
        <f>F216</f>
        <v>0.35431413120000005</v>
      </c>
    </row>
    <row r="237" spans="2:6">
      <c r="B237" s="3" t="str">
        <f t="shared" si="44"/>
        <v>Peat Finger Tie Back Bund</v>
      </c>
      <c r="C237" s="3" t="str">
        <f>$G$22</f>
        <v>&gt;1m - &lt;2m</v>
      </c>
      <c r="D237" s="3" t="str">
        <f>G161</f>
        <v>Hand</v>
      </c>
      <c r="E237" s="3" t="str">
        <f t="shared" si="35"/>
        <v>Peat Finger Tie Back Bund&gt;1m - &lt;2mHand</v>
      </c>
      <c r="F237" s="44">
        <v>0</v>
      </c>
    </row>
    <row r="238" spans="2:6">
      <c r="B238" s="3" t="str">
        <f t="shared" si="44"/>
        <v>Peat Finger Tie Back Bund</v>
      </c>
      <c r="C238" s="3" t="str">
        <f>$G$22</f>
        <v>&gt;1m - &lt;2m</v>
      </c>
      <c r="D238" s="3" t="str">
        <f>G162</f>
        <v>Machine</v>
      </c>
      <c r="E238" s="3" t="str">
        <f t="shared" si="35"/>
        <v>Peat Finger Tie Back Bund&gt;1m - &lt;2mMachine</v>
      </c>
      <c r="F238" s="44">
        <f>F218</f>
        <v>0.51316632000000006</v>
      </c>
    </row>
    <row r="239" spans="2:6">
      <c r="B239" s="3" t="str">
        <f t="shared" si="44"/>
        <v>Peat Finger Tie Back Bund</v>
      </c>
      <c r="C239" s="3" t="str">
        <f>$G$23</f>
        <v>&gt;2m - &lt;3m</v>
      </c>
      <c r="D239" s="3" t="str">
        <f>G161</f>
        <v>Hand</v>
      </c>
      <c r="E239" s="3" t="str">
        <f t="shared" ref="E239:E273" si="45">B239&amp;C239&amp;D239</f>
        <v>Peat Finger Tie Back Bund&gt;2m - &lt;3mHand</v>
      </c>
      <c r="F239" s="44">
        <v>0</v>
      </c>
    </row>
    <row r="240" spans="2:6">
      <c r="B240" s="3" t="str">
        <f t="shared" si="44"/>
        <v>Peat Finger Tie Back Bund</v>
      </c>
      <c r="C240" s="3" t="str">
        <f>$G$23</f>
        <v>&gt;2m - &lt;3m</v>
      </c>
      <c r="D240" s="3" t="str">
        <f>G162</f>
        <v>Machine</v>
      </c>
      <c r="E240" s="3" t="str">
        <f t="shared" si="45"/>
        <v>Peat Finger Tie Back Bund&gt;2m - &lt;3mMachine</v>
      </c>
      <c r="F240" s="44">
        <f>F220</f>
        <v>1.2245076000000001</v>
      </c>
    </row>
    <row r="241" spans="2:6">
      <c r="B241" s="3" t="str">
        <f t="shared" si="44"/>
        <v>Peat Finger Tie Back Bund</v>
      </c>
      <c r="C241" s="3" t="str">
        <f>$G$24</f>
        <v>&gt;3m - &lt;4m</v>
      </c>
      <c r="D241" s="3" t="str">
        <f>G161</f>
        <v>Hand</v>
      </c>
      <c r="E241" s="3" t="str">
        <f t="shared" si="45"/>
        <v>Peat Finger Tie Back Bund&gt;3m - &lt;4mHand</v>
      </c>
      <c r="F241" s="44">
        <v>0</v>
      </c>
    </row>
    <row r="242" spans="2:6">
      <c r="B242" s="3" t="str">
        <f t="shared" si="44"/>
        <v>Peat Finger Tie Back Bund</v>
      </c>
      <c r="C242" s="3" t="str">
        <f>$G$24</f>
        <v>&gt;3m - &lt;4m</v>
      </c>
      <c r="D242" s="3" t="str">
        <f>G162</f>
        <v>Machine</v>
      </c>
      <c r="E242" s="3" t="str">
        <f t="shared" si="45"/>
        <v>Peat Finger Tie Back Bund&gt;3m - &lt;4mMachine</v>
      </c>
      <c r="F242" s="44">
        <f>F222</f>
        <v>1.7015412000000001</v>
      </c>
    </row>
    <row r="243" spans="2:6">
      <c r="B243" s="3" t="str">
        <f t="shared" si="44"/>
        <v>Peat Finger Tie Back Bund</v>
      </c>
      <c r="C243" s="3" t="str">
        <f>$G$25</f>
        <v>&gt;4m - &lt;5m</v>
      </c>
      <c r="D243" s="3" t="str">
        <f>G161</f>
        <v>Hand</v>
      </c>
      <c r="E243" s="3" t="str">
        <f t="shared" si="45"/>
        <v>Peat Finger Tie Back Bund&gt;4m - &lt;5mHand</v>
      </c>
      <c r="F243" s="44">
        <v>0</v>
      </c>
    </row>
    <row r="244" spans="2:6">
      <c r="B244" s="3" t="str">
        <f t="shared" si="44"/>
        <v>Peat Finger Tie Back Bund</v>
      </c>
      <c r="C244" s="3" t="str">
        <f>$G$25</f>
        <v>&gt;4m - &lt;5m</v>
      </c>
      <c r="D244" s="3" t="str">
        <f>G162</f>
        <v>Machine</v>
      </c>
      <c r="E244" s="3" t="str">
        <f t="shared" si="45"/>
        <v>Peat Finger Tie Back Bund&gt;4m - &lt;5mMachine</v>
      </c>
      <c r="F244" s="44">
        <f>F224</f>
        <v>2.2873104</v>
      </c>
    </row>
    <row r="245" spans="2:6">
      <c r="B245" s="3" t="str">
        <f t="shared" si="44"/>
        <v>Peat Finger Tie Back Bund</v>
      </c>
      <c r="C245" s="3" t="str">
        <f>$G$26</f>
        <v>&gt;5m - &lt;10m</v>
      </c>
      <c r="D245" s="3" t="str">
        <f>G161</f>
        <v>Hand</v>
      </c>
      <c r="E245" s="3" t="str">
        <f t="shared" si="45"/>
        <v>Peat Finger Tie Back Bund&gt;5m - &lt;10mHand</v>
      </c>
      <c r="F245" s="44">
        <v>0</v>
      </c>
    </row>
    <row r="246" spans="2:6">
      <c r="B246" s="3" t="str">
        <f t="shared" si="44"/>
        <v>Peat Finger Tie Back Bund</v>
      </c>
      <c r="C246" s="3" t="str">
        <f>$G$26</f>
        <v>&gt;5m - &lt;10m</v>
      </c>
      <c r="D246" s="3" t="str">
        <f>G162</f>
        <v>Machine</v>
      </c>
      <c r="E246" s="3" t="str">
        <f t="shared" si="45"/>
        <v>Peat Finger Tie Back Bund&gt;5m - &lt;10mMachine</v>
      </c>
      <c r="F246" s="44">
        <f>F226</f>
        <v>3.9785348159999998</v>
      </c>
    </row>
    <row r="247" spans="2:6">
      <c r="B247" s="3" t="str">
        <f t="shared" si="44"/>
        <v>Peat Finger Tie Back Bund</v>
      </c>
      <c r="C247" s="3" t="str">
        <f>$G$27</f>
        <v>&gt;10m</v>
      </c>
      <c r="D247" s="3" t="str">
        <f>G161</f>
        <v>Hand</v>
      </c>
      <c r="E247" s="3" t="str">
        <f t="shared" si="45"/>
        <v>Peat Finger Tie Back Bund&gt;10mHand</v>
      </c>
      <c r="F247" s="44">
        <v>0</v>
      </c>
    </row>
    <row r="248" spans="2:6">
      <c r="B248" s="3" t="str">
        <f t="shared" si="44"/>
        <v>Peat Finger Tie Back Bund</v>
      </c>
      <c r="C248" s="3" t="str">
        <f>$G$27</f>
        <v>&gt;10m</v>
      </c>
      <c r="D248" s="3" t="str">
        <f>G162</f>
        <v>Machine</v>
      </c>
      <c r="E248" s="3" t="str">
        <f t="shared" si="45"/>
        <v>Peat Finger Tie Back Bund&gt;10mMachine</v>
      </c>
      <c r="F248" s="44">
        <f>F228</f>
        <v>5.3878884960000004</v>
      </c>
    </row>
    <row r="249" spans="2:6">
      <c r="B249" s="3" t="str">
        <f>$B$10</f>
        <v>Peat Fish-Scale/Scallop Bund</v>
      </c>
      <c r="C249" s="3" t="str">
        <f>$H$21</f>
        <v>&lt;1m</v>
      </c>
      <c r="D249" s="3" t="str">
        <f>H161</f>
        <v>Hand</v>
      </c>
      <c r="E249" s="3" t="str">
        <f t="shared" si="45"/>
        <v>Peat Fish-Scale/Scallop Bund&lt;1mHand</v>
      </c>
      <c r="F249" s="44">
        <v>0</v>
      </c>
    </row>
    <row r="250" spans="2:6">
      <c r="B250" s="3" t="str">
        <f t="shared" ref="B250:B262" si="46">$B$10</f>
        <v>Peat Fish-Scale/Scallop Bund</v>
      </c>
      <c r="C250" s="3" t="str">
        <f>$H$21</f>
        <v>&lt;1m</v>
      </c>
      <c r="D250" s="3" t="str">
        <f>H162</f>
        <v>Machine</v>
      </c>
      <c r="E250" s="3" t="str">
        <f t="shared" ref="E250:E269" si="47">B250&amp;C250&amp;D250</f>
        <v>Peat Fish-Scale/Scallop Bund&lt;1mMachine</v>
      </c>
      <c r="F250" s="44">
        <f>F216</f>
        <v>0.35431413120000005</v>
      </c>
    </row>
    <row r="251" spans="2:6">
      <c r="B251" s="3" t="str">
        <f t="shared" si="46"/>
        <v>Peat Fish-Scale/Scallop Bund</v>
      </c>
      <c r="C251" s="3" t="str">
        <f>$H$22</f>
        <v>&gt;1m - &lt;2m</v>
      </c>
      <c r="D251" s="3" t="str">
        <f>H161</f>
        <v>Hand</v>
      </c>
      <c r="E251" s="3" t="str">
        <f t="shared" si="47"/>
        <v>Peat Fish-Scale/Scallop Bund&gt;1m - &lt;2mHand</v>
      </c>
      <c r="F251" s="44">
        <v>0</v>
      </c>
    </row>
    <row r="252" spans="2:6">
      <c r="B252" s="3" t="str">
        <f t="shared" si="46"/>
        <v>Peat Fish-Scale/Scallop Bund</v>
      </c>
      <c r="C252" s="3" t="str">
        <f>$H$22</f>
        <v>&gt;1m - &lt;2m</v>
      </c>
      <c r="D252" s="3" t="str">
        <f>H162</f>
        <v>Machine</v>
      </c>
      <c r="E252" s="3" t="str">
        <f t="shared" si="47"/>
        <v>Peat Fish-Scale/Scallop Bund&gt;1m - &lt;2mMachine</v>
      </c>
      <c r="F252" s="44">
        <f>F218</f>
        <v>0.51316632000000006</v>
      </c>
    </row>
    <row r="253" spans="2:6">
      <c r="B253" s="3" t="str">
        <f t="shared" si="46"/>
        <v>Peat Fish-Scale/Scallop Bund</v>
      </c>
      <c r="C253" s="3" t="str">
        <f>$H$23</f>
        <v>&gt;2m - &lt;3m</v>
      </c>
      <c r="D253" s="3" t="str">
        <f>H161</f>
        <v>Hand</v>
      </c>
      <c r="E253" s="3" t="str">
        <f t="shared" si="47"/>
        <v>Peat Fish-Scale/Scallop Bund&gt;2m - &lt;3mHand</v>
      </c>
      <c r="F253" s="44">
        <v>0</v>
      </c>
    </row>
    <row r="254" spans="2:6">
      <c r="B254" s="3" t="str">
        <f t="shared" si="46"/>
        <v>Peat Fish-Scale/Scallop Bund</v>
      </c>
      <c r="C254" s="3" t="str">
        <f>$H$23</f>
        <v>&gt;2m - &lt;3m</v>
      </c>
      <c r="D254" s="3" t="str">
        <f>H162</f>
        <v>Machine</v>
      </c>
      <c r="E254" s="3" t="str">
        <f t="shared" si="47"/>
        <v>Peat Fish-Scale/Scallop Bund&gt;2m - &lt;3mMachine</v>
      </c>
      <c r="F254" s="44">
        <f>F220</f>
        <v>1.2245076000000001</v>
      </c>
    </row>
    <row r="255" spans="2:6">
      <c r="B255" s="3" t="str">
        <f t="shared" si="46"/>
        <v>Peat Fish-Scale/Scallop Bund</v>
      </c>
      <c r="C255" s="3" t="str">
        <f>$H$24</f>
        <v>&gt;3m - &lt;4m</v>
      </c>
      <c r="D255" s="3" t="str">
        <f>H161</f>
        <v>Hand</v>
      </c>
      <c r="E255" s="3" t="str">
        <f t="shared" si="47"/>
        <v>Peat Fish-Scale/Scallop Bund&gt;3m - &lt;4mHand</v>
      </c>
      <c r="F255" s="44">
        <v>0</v>
      </c>
    </row>
    <row r="256" spans="2:6">
      <c r="B256" s="3" t="str">
        <f t="shared" si="46"/>
        <v>Peat Fish-Scale/Scallop Bund</v>
      </c>
      <c r="C256" s="3" t="str">
        <f>$H$24</f>
        <v>&gt;3m - &lt;4m</v>
      </c>
      <c r="D256" s="3" t="str">
        <f>H162</f>
        <v>Machine</v>
      </c>
      <c r="E256" s="3" t="str">
        <f t="shared" si="47"/>
        <v>Peat Fish-Scale/Scallop Bund&gt;3m - &lt;4mMachine</v>
      </c>
      <c r="F256" s="44">
        <f>F222</f>
        <v>1.7015412000000001</v>
      </c>
    </row>
    <row r="257" spans="2:6">
      <c r="B257" s="3" t="str">
        <f t="shared" si="46"/>
        <v>Peat Fish-Scale/Scallop Bund</v>
      </c>
      <c r="C257" s="3" t="str">
        <f>$H$25</f>
        <v>&gt;4m - &lt;5m</v>
      </c>
      <c r="D257" s="3" t="str">
        <f>H161</f>
        <v>Hand</v>
      </c>
      <c r="E257" s="3" t="str">
        <f t="shared" si="47"/>
        <v>Peat Fish-Scale/Scallop Bund&gt;4m - &lt;5mHand</v>
      </c>
      <c r="F257" s="44">
        <v>0</v>
      </c>
    </row>
    <row r="258" spans="2:6">
      <c r="B258" s="3" t="str">
        <f t="shared" si="46"/>
        <v>Peat Fish-Scale/Scallop Bund</v>
      </c>
      <c r="C258" s="3" t="str">
        <f>$H$25</f>
        <v>&gt;4m - &lt;5m</v>
      </c>
      <c r="D258" s="3" t="str">
        <f>H162</f>
        <v>Machine</v>
      </c>
      <c r="E258" s="3" t="str">
        <f t="shared" si="47"/>
        <v>Peat Fish-Scale/Scallop Bund&gt;4m - &lt;5mMachine</v>
      </c>
      <c r="F258" s="44">
        <f>F224</f>
        <v>2.2873104</v>
      </c>
    </row>
    <row r="259" spans="2:6">
      <c r="B259" s="3" t="str">
        <f t="shared" si="46"/>
        <v>Peat Fish-Scale/Scallop Bund</v>
      </c>
      <c r="C259" s="3" t="str">
        <f>$H$26</f>
        <v>&gt;5m - &lt;10m</v>
      </c>
      <c r="D259" s="3" t="str">
        <f>H161</f>
        <v>Hand</v>
      </c>
      <c r="E259" s="3" t="str">
        <f t="shared" si="47"/>
        <v>Peat Fish-Scale/Scallop Bund&gt;5m - &lt;10mHand</v>
      </c>
      <c r="F259" s="44">
        <v>0</v>
      </c>
    </row>
    <row r="260" spans="2:6">
      <c r="B260" s="3" t="str">
        <f t="shared" si="46"/>
        <v>Peat Fish-Scale/Scallop Bund</v>
      </c>
      <c r="C260" s="3" t="str">
        <f>$H$26</f>
        <v>&gt;5m - &lt;10m</v>
      </c>
      <c r="D260" s="3" t="str">
        <f>H162</f>
        <v>Machine</v>
      </c>
      <c r="E260" s="3" t="str">
        <f t="shared" si="47"/>
        <v>Peat Fish-Scale/Scallop Bund&gt;5m - &lt;10mMachine</v>
      </c>
      <c r="F260" s="44">
        <f>F226</f>
        <v>3.9785348159999998</v>
      </c>
    </row>
    <row r="261" spans="2:6">
      <c r="B261" s="3" t="str">
        <f t="shared" si="46"/>
        <v>Peat Fish-Scale/Scallop Bund</v>
      </c>
      <c r="C261" s="3" t="str">
        <f>$H$27</f>
        <v>&gt;10m</v>
      </c>
      <c r="D261" s="3" t="str">
        <f>H161</f>
        <v>Hand</v>
      </c>
      <c r="E261" s="3" t="str">
        <f t="shared" si="47"/>
        <v>Peat Fish-Scale/Scallop Bund&gt;10mHand</v>
      </c>
      <c r="F261" s="44">
        <v>0</v>
      </c>
    </row>
    <row r="262" spans="2:6">
      <c r="B262" s="3" t="str">
        <f t="shared" si="46"/>
        <v>Peat Fish-Scale/Scallop Bund</v>
      </c>
      <c r="C262" s="3" t="str">
        <f>$H$27</f>
        <v>&gt;10m</v>
      </c>
      <c r="D262" s="3" t="str">
        <f>H162</f>
        <v>Machine</v>
      </c>
      <c r="E262" s="3" t="str">
        <f t="shared" si="47"/>
        <v>Peat Fish-Scale/Scallop Bund&gt;10mMachine</v>
      </c>
      <c r="F262" s="44">
        <f>F228</f>
        <v>5.3878884960000004</v>
      </c>
    </row>
    <row r="263" spans="2:6">
      <c r="B263" s="3" t="str">
        <f>$B$11</f>
        <v>Peat Mini Bund</v>
      </c>
      <c r="C263" s="3" t="str">
        <f>$I$21</f>
        <v>&lt;1m</v>
      </c>
      <c r="D263" s="3" t="str">
        <f>I161</f>
        <v>Hand</v>
      </c>
      <c r="E263" s="3" t="str">
        <f t="shared" si="47"/>
        <v>Peat Mini Bund&lt;1mHand</v>
      </c>
      <c r="F263" s="44">
        <v>0</v>
      </c>
    </row>
    <row r="264" spans="2:6">
      <c r="B264" s="3" t="str">
        <f>$B$11</f>
        <v>Peat Mini Bund</v>
      </c>
      <c r="C264" s="3" t="str">
        <f>$I$21</f>
        <v>&lt;1m</v>
      </c>
      <c r="D264" s="3" t="str">
        <f>I162</f>
        <v>Machine</v>
      </c>
      <c r="E264" s="3" t="str">
        <f t="shared" si="47"/>
        <v>Peat Mini Bund&lt;1mMachine</v>
      </c>
      <c r="F264" s="44">
        <f>F216</f>
        <v>0.35431413120000005</v>
      </c>
    </row>
    <row r="265" spans="2:6">
      <c r="B265" s="3" t="str">
        <f>$B$12</f>
        <v>Peat Surface Bund</v>
      </c>
      <c r="C265" s="3" t="str">
        <f>$J$21</f>
        <v>&lt;1m</v>
      </c>
      <c r="D265" s="3" t="str">
        <f>J161</f>
        <v>Hand</v>
      </c>
      <c r="E265" s="3" t="str">
        <f t="shared" si="47"/>
        <v>Peat Surface Bund&lt;1mHand</v>
      </c>
      <c r="F265" s="44">
        <v>0</v>
      </c>
    </row>
    <row r="266" spans="2:6">
      <c r="B266" s="3" t="str">
        <f t="shared" ref="B266:B278" si="48">$B$12</f>
        <v>Peat Surface Bund</v>
      </c>
      <c r="C266" s="3" t="str">
        <f>$J$21</f>
        <v>&lt;1m</v>
      </c>
      <c r="D266" s="3" t="str">
        <f>J162</f>
        <v>Machine</v>
      </c>
      <c r="E266" s="3" t="str">
        <f t="shared" si="47"/>
        <v>Peat Surface Bund&lt;1mMachine</v>
      </c>
      <c r="F266" s="44">
        <f>F216</f>
        <v>0.35431413120000005</v>
      </c>
    </row>
    <row r="267" spans="2:6">
      <c r="B267" s="3" t="str">
        <f t="shared" si="48"/>
        <v>Peat Surface Bund</v>
      </c>
      <c r="C267" s="3" t="str">
        <f>$J$22</f>
        <v>&gt;1m - &lt;2m</v>
      </c>
      <c r="D267" s="3" t="str">
        <f>J161</f>
        <v>Hand</v>
      </c>
      <c r="E267" s="3" t="str">
        <f t="shared" si="47"/>
        <v>Peat Surface Bund&gt;1m - &lt;2mHand</v>
      </c>
      <c r="F267" s="44">
        <v>0</v>
      </c>
    </row>
    <row r="268" spans="2:6">
      <c r="B268" s="3" t="str">
        <f t="shared" si="48"/>
        <v>Peat Surface Bund</v>
      </c>
      <c r="C268" s="3" t="str">
        <f>$J$22</f>
        <v>&gt;1m - &lt;2m</v>
      </c>
      <c r="D268" s="3" t="str">
        <f>J162</f>
        <v>Machine</v>
      </c>
      <c r="E268" s="3" t="str">
        <f t="shared" si="47"/>
        <v>Peat Surface Bund&gt;1m - &lt;2mMachine</v>
      </c>
      <c r="F268" s="44">
        <f>F218</f>
        <v>0.51316632000000006</v>
      </c>
    </row>
    <row r="269" spans="2:6">
      <c r="B269" s="3" t="str">
        <f t="shared" si="48"/>
        <v>Peat Surface Bund</v>
      </c>
      <c r="C269" s="3" t="str">
        <f>$J$23</f>
        <v>&gt;2m - &lt;3m</v>
      </c>
      <c r="D269" s="3" t="str">
        <f>J161</f>
        <v>Hand</v>
      </c>
      <c r="E269" s="3" t="str">
        <f t="shared" si="47"/>
        <v>Peat Surface Bund&gt;2m - &lt;3mHand</v>
      </c>
      <c r="F269" s="44">
        <v>0</v>
      </c>
    </row>
    <row r="270" spans="2:6">
      <c r="B270" s="3" t="str">
        <f t="shared" si="48"/>
        <v>Peat Surface Bund</v>
      </c>
      <c r="C270" s="3" t="str">
        <f>$J$23</f>
        <v>&gt;2m - &lt;3m</v>
      </c>
      <c r="D270" s="3" t="str">
        <f>J162</f>
        <v>Machine</v>
      </c>
      <c r="E270" s="3" t="str">
        <f t="shared" si="45"/>
        <v>Peat Surface Bund&gt;2m - &lt;3mMachine</v>
      </c>
      <c r="F270" s="44">
        <f>F220</f>
        <v>1.2245076000000001</v>
      </c>
    </row>
    <row r="271" spans="2:6">
      <c r="B271" s="3" t="str">
        <f t="shared" si="48"/>
        <v>Peat Surface Bund</v>
      </c>
      <c r="C271" s="3" t="str">
        <f>$J$24</f>
        <v>&gt;3m - &lt;4m</v>
      </c>
      <c r="D271" s="3" t="str">
        <f>J161</f>
        <v>Hand</v>
      </c>
      <c r="E271" s="3" t="str">
        <f t="shared" si="45"/>
        <v>Peat Surface Bund&gt;3m - &lt;4mHand</v>
      </c>
      <c r="F271" s="44">
        <v>0</v>
      </c>
    </row>
    <row r="272" spans="2:6">
      <c r="B272" s="3" t="str">
        <f t="shared" si="48"/>
        <v>Peat Surface Bund</v>
      </c>
      <c r="C272" s="3" t="str">
        <f>$J$24</f>
        <v>&gt;3m - &lt;4m</v>
      </c>
      <c r="D272" s="3" t="str">
        <f>J162</f>
        <v>Machine</v>
      </c>
      <c r="E272" s="3" t="str">
        <f t="shared" si="45"/>
        <v>Peat Surface Bund&gt;3m - &lt;4mMachine</v>
      </c>
      <c r="F272" s="44">
        <f>F222</f>
        <v>1.7015412000000001</v>
      </c>
    </row>
    <row r="273" spans="2:6">
      <c r="B273" s="3" t="str">
        <f t="shared" si="48"/>
        <v>Peat Surface Bund</v>
      </c>
      <c r="C273" s="3" t="str">
        <f>$J$25</f>
        <v>&gt;4m - &lt;5m</v>
      </c>
      <c r="D273" s="3" t="str">
        <f>J161</f>
        <v>Hand</v>
      </c>
      <c r="E273" s="3" t="str">
        <f t="shared" si="45"/>
        <v>Peat Surface Bund&gt;4m - &lt;5mHand</v>
      </c>
      <c r="F273" s="44">
        <v>0</v>
      </c>
    </row>
    <row r="274" spans="2:6">
      <c r="B274" s="3" t="str">
        <f t="shared" si="48"/>
        <v>Peat Surface Bund</v>
      </c>
      <c r="C274" s="3" t="str">
        <f>$J$25</f>
        <v>&gt;4m - &lt;5m</v>
      </c>
      <c r="D274" s="3" t="str">
        <f>J162</f>
        <v>Machine</v>
      </c>
      <c r="E274" s="3" t="str">
        <f t="shared" ref="E274:E281" si="49">B274&amp;C274&amp;D274</f>
        <v>Peat Surface Bund&gt;4m - &lt;5mMachine</v>
      </c>
      <c r="F274" s="44">
        <f>F224</f>
        <v>2.2873104</v>
      </c>
    </row>
    <row r="275" spans="2:6">
      <c r="B275" s="3" t="str">
        <f t="shared" si="48"/>
        <v>Peat Surface Bund</v>
      </c>
      <c r="C275" s="3" t="str">
        <f>$J$26</f>
        <v>&gt;5m - &lt;10m</v>
      </c>
      <c r="D275" s="3" t="str">
        <f>J161</f>
        <v>Hand</v>
      </c>
      <c r="E275" s="3" t="str">
        <f t="shared" si="49"/>
        <v>Peat Surface Bund&gt;5m - &lt;10mHand</v>
      </c>
      <c r="F275" s="44">
        <v>0</v>
      </c>
    </row>
    <row r="276" spans="2:6">
      <c r="B276" s="3" t="str">
        <f t="shared" si="48"/>
        <v>Peat Surface Bund</v>
      </c>
      <c r="C276" s="3" t="str">
        <f>$J$26</f>
        <v>&gt;5m - &lt;10m</v>
      </c>
      <c r="D276" s="3" t="str">
        <f>J162</f>
        <v>Machine</v>
      </c>
      <c r="E276" s="3" t="str">
        <f t="shared" si="49"/>
        <v>Peat Surface Bund&gt;5m - &lt;10mMachine</v>
      </c>
      <c r="F276" s="44">
        <f>F226</f>
        <v>3.9785348159999998</v>
      </c>
    </row>
    <row r="277" spans="2:6">
      <c r="B277" s="3" t="str">
        <f t="shared" si="48"/>
        <v>Peat Surface Bund</v>
      </c>
      <c r="C277" s="3" t="str">
        <f>$J$27</f>
        <v>&gt;10m</v>
      </c>
      <c r="D277" s="3" t="str">
        <f>J161</f>
        <v>Hand</v>
      </c>
      <c r="E277" s="3" t="str">
        <f t="shared" si="49"/>
        <v>Peat Surface Bund&gt;10mHand</v>
      </c>
      <c r="F277" s="44">
        <v>0</v>
      </c>
    </row>
    <row r="278" spans="2:6">
      <c r="B278" s="3" t="str">
        <f t="shared" si="48"/>
        <v>Peat Surface Bund</v>
      </c>
      <c r="C278" s="3" t="str">
        <f>$J$27</f>
        <v>&gt;10m</v>
      </c>
      <c r="D278" s="3" t="str">
        <f>J162</f>
        <v>Machine</v>
      </c>
      <c r="E278" s="3" t="str">
        <f t="shared" si="49"/>
        <v>Peat Surface Bund&gt;10mMachine</v>
      </c>
      <c r="F278" s="44">
        <f>F228</f>
        <v>5.3878884960000004</v>
      </c>
    </row>
    <row r="279" spans="2:6">
      <c r="B279" s="3" t="str">
        <f>$B$13</f>
        <v>Peat Trench Bund</v>
      </c>
      <c r="C279" s="3" t="str">
        <f>$K$21</f>
        <v>&lt;1m</v>
      </c>
      <c r="D279" s="3" t="str">
        <f>K161</f>
        <v>Hand</v>
      </c>
      <c r="E279" s="3" t="str">
        <f t="shared" si="49"/>
        <v>Peat Trench Bund&lt;1mHand</v>
      </c>
      <c r="F279" s="44">
        <v>0</v>
      </c>
    </row>
    <row r="280" spans="2:6">
      <c r="B280" s="3" t="str">
        <f t="shared" ref="B280:B292" si="50">$B$13</f>
        <v>Peat Trench Bund</v>
      </c>
      <c r="C280" s="3" t="str">
        <f>$K$21</f>
        <v>&lt;1m</v>
      </c>
      <c r="D280" s="3" t="str">
        <f>K162</f>
        <v>Machine</v>
      </c>
      <c r="E280" s="3" t="str">
        <f t="shared" si="49"/>
        <v>Peat Trench Bund&lt;1mMachine</v>
      </c>
      <c r="F280" s="44">
        <f>F216</f>
        <v>0.35431413120000005</v>
      </c>
    </row>
    <row r="281" spans="2:6">
      <c r="B281" s="3" t="str">
        <f t="shared" si="50"/>
        <v>Peat Trench Bund</v>
      </c>
      <c r="C281" s="3" t="str">
        <f>$K$22</f>
        <v>&gt;1m - &lt;2m</v>
      </c>
      <c r="D281" s="3" t="str">
        <f>K161</f>
        <v>Hand</v>
      </c>
      <c r="E281" s="3" t="str">
        <f t="shared" si="49"/>
        <v>Peat Trench Bund&gt;1m - &lt;2mHand</v>
      </c>
      <c r="F281" s="44">
        <v>0</v>
      </c>
    </row>
    <row r="282" spans="2:6">
      <c r="B282" s="3" t="str">
        <f t="shared" si="50"/>
        <v>Peat Trench Bund</v>
      </c>
      <c r="C282" s="3" t="str">
        <f>$K$22</f>
        <v>&gt;1m - &lt;2m</v>
      </c>
      <c r="D282" s="3" t="str">
        <f>K162</f>
        <v>Machine</v>
      </c>
      <c r="E282" s="3" t="str">
        <f t="shared" ref="E282:E285" si="51">B282&amp;C282&amp;D282</f>
        <v>Peat Trench Bund&gt;1m - &lt;2mMachine</v>
      </c>
      <c r="F282" s="44">
        <f>F218</f>
        <v>0.51316632000000006</v>
      </c>
    </row>
    <row r="283" spans="2:6">
      <c r="B283" s="3" t="str">
        <f t="shared" si="50"/>
        <v>Peat Trench Bund</v>
      </c>
      <c r="C283" s="3" t="str">
        <f>$K$23</f>
        <v>&gt;2m - &lt;3m</v>
      </c>
      <c r="D283" s="3" t="str">
        <f>K161</f>
        <v>Hand</v>
      </c>
      <c r="E283" s="3" t="str">
        <f t="shared" si="51"/>
        <v>Peat Trench Bund&gt;2m - &lt;3mHand</v>
      </c>
      <c r="F283" s="44">
        <v>0</v>
      </c>
    </row>
    <row r="284" spans="2:6">
      <c r="B284" s="3" t="str">
        <f t="shared" si="50"/>
        <v>Peat Trench Bund</v>
      </c>
      <c r="C284" s="3" t="str">
        <f>$K$23</f>
        <v>&gt;2m - &lt;3m</v>
      </c>
      <c r="D284" s="3" t="str">
        <f>K162</f>
        <v>Machine</v>
      </c>
      <c r="E284" s="3" t="str">
        <f t="shared" si="51"/>
        <v>Peat Trench Bund&gt;2m - &lt;3mMachine</v>
      </c>
      <c r="F284" s="44">
        <f>F220</f>
        <v>1.2245076000000001</v>
      </c>
    </row>
    <row r="285" spans="2:6">
      <c r="B285" s="3" t="str">
        <f t="shared" si="50"/>
        <v>Peat Trench Bund</v>
      </c>
      <c r="C285" s="3" t="str">
        <f>$K$24</f>
        <v>&gt;3m - &lt;4m</v>
      </c>
      <c r="D285" s="3" t="str">
        <f>K161</f>
        <v>Hand</v>
      </c>
      <c r="E285" s="3" t="str">
        <f t="shared" si="51"/>
        <v>Peat Trench Bund&gt;3m - &lt;4mHand</v>
      </c>
      <c r="F285" s="44">
        <v>0</v>
      </c>
    </row>
    <row r="286" spans="2:6">
      <c r="B286" s="3" t="str">
        <f t="shared" si="50"/>
        <v>Peat Trench Bund</v>
      </c>
      <c r="C286" s="3" t="str">
        <f>$K$24</f>
        <v>&gt;3m - &lt;4m</v>
      </c>
      <c r="D286" s="3" t="str">
        <f>K162</f>
        <v>Machine</v>
      </c>
      <c r="E286" s="3" t="str">
        <f>B286&amp;C286&amp;D286</f>
        <v>Peat Trench Bund&gt;3m - &lt;4mMachine</v>
      </c>
      <c r="F286" s="44">
        <f>F222</f>
        <v>1.7015412000000001</v>
      </c>
    </row>
    <row r="287" spans="2:6">
      <c r="B287" s="3" t="str">
        <f t="shared" si="50"/>
        <v>Peat Trench Bund</v>
      </c>
      <c r="C287" s="3" t="str">
        <f>$K$25</f>
        <v>&gt;4m - &lt;5m</v>
      </c>
      <c r="D287" s="3" t="str">
        <f>K161</f>
        <v>Hand</v>
      </c>
      <c r="E287" s="3" t="str">
        <f>B287&amp;C287&amp;D287</f>
        <v>Peat Trench Bund&gt;4m - &lt;5mHand</v>
      </c>
      <c r="F287" s="44">
        <v>0</v>
      </c>
    </row>
    <row r="288" spans="2:6">
      <c r="B288" s="3" t="str">
        <f t="shared" si="50"/>
        <v>Peat Trench Bund</v>
      </c>
      <c r="C288" s="3" t="str">
        <f>$K$25</f>
        <v>&gt;4m - &lt;5m</v>
      </c>
      <c r="D288" s="3" t="str">
        <f>K162</f>
        <v>Machine</v>
      </c>
      <c r="E288" s="3" t="str">
        <f t="shared" ref="E288:E290" si="52">B288&amp;C288&amp;D288</f>
        <v>Peat Trench Bund&gt;4m - &lt;5mMachine</v>
      </c>
      <c r="F288" s="44">
        <f>F224</f>
        <v>2.2873104</v>
      </c>
    </row>
    <row r="289" spans="2:6">
      <c r="B289" s="3" t="str">
        <f t="shared" si="50"/>
        <v>Peat Trench Bund</v>
      </c>
      <c r="C289" s="3" t="str">
        <f>$K$26</f>
        <v>&gt;5m - &lt;10m</v>
      </c>
      <c r="D289" s="3" t="str">
        <f>K161</f>
        <v>Hand</v>
      </c>
      <c r="E289" s="3" t="str">
        <f t="shared" si="52"/>
        <v>Peat Trench Bund&gt;5m - &lt;10mHand</v>
      </c>
      <c r="F289" s="44">
        <v>0</v>
      </c>
    </row>
    <row r="290" spans="2:6">
      <c r="B290" s="3" t="str">
        <f t="shared" si="50"/>
        <v>Peat Trench Bund</v>
      </c>
      <c r="C290" s="3" t="str">
        <f>$K$26</f>
        <v>&gt;5m - &lt;10m</v>
      </c>
      <c r="D290" s="3" t="str">
        <f>K162</f>
        <v>Machine</v>
      </c>
      <c r="E290" s="3" t="str">
        <f t="shared" si="52"/>
        <v>Peat Trench Bund&gt;5m - &lt;10mMachine</v>
      </c>
      <c r="F290" s="44">
        <f>F226</f>
        <v>3.9785348159999998</v>
      </c>
    </row>
    <row r="291" spans="2:6">
      <c r="B291" s="3" t="str">
        <f t="shared" si="50"/>
        <v>Peat Trench Bund</v>
      </c>
      <c r="C291" s="3" t="str">
        <f>$K$27</f>
        <v>&gt;10m</v>
      </c>
      <c r="D291" s="3" t="str">
        <f>K161</f>
        <v>Hand</v>
      </c>
      <c r="E291" s="3" t="str">
        <f>B291&amp;C291&amp;D291</f>
        <v>Peat Trench Bund&gt;10mHand</v>
      </c>
      <c r="F291" s="44">
        <v>0</v>
      </c>
    </row>
    <row r="292" spans="2:6">
      <c r="B292" s="3" t="str">
        <f t="shared" si="50"/>
        <v>Peat Trench Bund</v>
      </c>
      <c r="C292" s="3" t="str">
        <f>$K$27</f>
        <v>&gt;10m</v>
      </c>
      <c r="D292" s="3" t="str">
        <f>K162</f>
        <v>Machine</v>
      </c>
      <c r="E292" s="3" t="str">
        <f>B292&amp;C292&amp;D292</f>
        <v>Peat Trench Bund&gt;10mMachine</v>
      </c>
      <c r="F292" s="44">
        <f>F228</f>
        <v>5.3878884960000004</v>
      </c>
    </row>
    <row r="293" spans="2:6">
      <c r="B293" s="3"/>
      <c r="C293" s="3"/>
      <c r="D293" s="3"/>
      <c r="E293" s="3"/>
      <c r="F293" s="44"/>
    </row>
  </sheetData>
  <sheetProtection algorithmName="SHA-512" hashValue="/M6VnqdNfUOpBRPyUcDDshCVNtwKzTEm+ERhQMkHf+/5h4anJCWQla4TrTY5xMFmcq+FVuTo/g6A9bST+8zyUg==" saltValue="4AnIUG32DFH5ZcsOMZ/imw==" spinCount="100000" sheet="1" objects="1" scenarios="1" selectLockedCells="1" selectUnlockedCells="1"/>
  <sortState xmlns:xlrd2="http://schemas.microsoft.com/office/spreadsheetml/2017/richdata2" ref="B4:B13">
    <sortCondition ref="B3:B13"/>
  </sortState>
  <pageMargins left="0.7" right="0.7" top="0.75" bottom="0.75" header="0.3" footer="0.3"/>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05B6-E949-47A7-803A-101EA900E31D}">
  <dimension ref="B2:R121"/>
  <sheetViews>
    <sheetView zoomScale="85" zoomScaleNormal="85" workbookViewId="0">
      <selection sqref="A1:XFD1048576"/>
    </sheetView>
  </sheetViews>
  <sheetFormatPr defaultRowHeight="14.45"/>
  <cols>
    <col min="2" max="2" width="52.85546875" bestFit="1" customWidth="1"/>
    <col min="3" max="3" width="37.42578125" bestFit="1" customWidth="1"/>
    <col min="4" max="4" width="59.28515625" bestFit="1" customWidth="1"/>
    <col min="5" max="5" width="67.85546875" bestFit="1" customWidth="1"/>
    <col min="6" max="6" width="59.28515625" bestFit="1" customWidth="1"/>
    <col min="7" max="7" width="24.85546875" bestFit="1" customWidth="1"/>
    <col min="8" max="8" width="34" bestFit="1" customWidth="1"/>
    <col min="9" max="9" width="26.28515625" bestFit="1" customWidth="1"/>
    <col min="10" max="10" width="46.28515625" bestFit="1" customWidth="1"/>
    <col min="11" max="11" width="38.5703125" bestFit="1" customWidth="1"/>
    <col min="12" max="12" width="34.85546875" bestFit="1" customWidth="1"/>
    <col min="13" max="13" width="53.5703125" bestFit="1" customWidth="1"/>
    <col min="14" max="14" width="52.85546875" bestFit="1" customWidth="1"/>
    <col min="15" max="15" width="64.42578125" bestFit="1" customWidth="1"/>
    <col min="16" max="16" width="60.7109375" bestFit="1" customWidth="1"/>
    <col min="17" max="17" width="35.85546875" bestFit="1" customWidth="1"/>
    <col min="18" max="18" width="28.28515625" bestFit="1" customWidth="1"/>
  </cols>
  <sheetData>
    <row r="2" spans="2:17">
      <c r="B2" s="1" t="s">
        <v>287</v>
      </c>
    </row>
    <row r="3" spans="2:17">
      <c r="B3" s="9" t="s">
        <v>288</v>
      </c>
      <c r="F3" s="55"/>
      <c r="G3" s="55"/>
      <c r="H3" s="55"/>
      <c r="I3" s="55"/>
      <c r="J3" s="55"/>
      <c r="K3" s="55"/>
      <c r="L3" s="55"/>
      <c r="M3" s="55"/>
      <c r="N3" s="55"/>
      <c r="O3" s="55"/>
      <c r="P3" s="55"/>
      <c r="Q3" s="55"/>
    </row>
    <row r="4" spans="2:17">
      <c r="B4" s="52" t="s">
        <v>329</v>
      </c>
      <c r="M4" s="56"/>
      <c r="N4" s="56"/>
      <c r="O4" s="56"/>
      <c r="P4" s="56"/>
      <c r="Q4" s="56"/>
    </row>
    <row r="5" spans="2:17">
      <c r="B5" s="51" t="s">
        <v>330</v>
      </c>
      <c r="K5" s="43"/>
      <c r="L5" s="43"/>
      <c r="M5" s="43"/>
      <c r="N5" s="43"/>
      <c r="O5" s="43"/>
      <c r="P5" s="43"/>
    </row>
    <row r="6" spans="2:17">
      <c r="B6" s="52" t="s">
        <v>331</v>
      </c>
    </row>
    <row r="7" spans="2:17">
      <c r="B7" s="51" t="s">
        <v>332</v>
      </c>
    </row>
    <row r="8" spans="2:17">
      <c r="B8" s="52" t="s">
        <v>333</v>
      </c>
    </row>
    <row r="9" spans="2:17">
      <c r="B9" s="51" t="s">
        <v>334</v>
      </c>
    </row>
    <row r="10" spans="2:17">
      <c r="B10" s="52" t="s">
        <v>335</v>
      </c>
    </row>
    <row r="11" spans="2:17">
      <c r="B11" s="51" t="s">
        <v>336</v>
      </c>
    </row>
    <row r="12" spans="2:17">
      <c r="B12" s="52" t="s">
        <v>337</v>
      </c>
    </row>
    <row r="13" spans="2:17">
      <c r="B13" s="51" t="s">
        <v>338</v>
      </c>
    </row>
    <row r="14" spans="2:17">
      <c r="B14" s="52" t="s">
        <v>339</v>
      </c>
    </row>
    <row r="15" spans="2:17">
      <c r="B15" s="51" t="s">
        <v>340</v>
      </c>
    </row>
    <row r="16" spans="2:17">
      <c r="B16" s="52" t="s">
        <v>341</v>
      </c>
    </row>
    <row r="17" spans="2:18">
      <c r="B17" s="51" t="s">
        <v>342</v>
      </c>
    </row>
    <row r="18" spans="2:18">
      <c r="B18" s="52" t="s">
        <v>343</v>
      </c>
    </row>
    <row r="19" spans="2:18">
      <c r="B19" s="51" t="s">
        <v>344</v>
      </c>
    </row>
    <row r="20" spans="2:18">
      <c r="B20" s="110" t="s">
        <v>345</v>
      </c>
    </row>
    <row r="26" spans="2:18">
      <c r="B26" s="1" t="s">
        <v>346</v>
      </c>
    </row>
    <row r="27" spans="2:18">
      <c r="B27" s="12" t="s">
        <v>329</v>
      </c>
      <c r="C27" s="20" t="s">
        <v>330</v>
      </c>
      <c r="D27" s="20" t="s">
        <v>331</v>
      </c>
      <c r="E27" s="20" t="s">
        <v>332</v>
      </c>
      <c r="F27" s="20" t="s">
        <v>333</v>
      </c>
      <c r="G27" s="115" t="s">
        <v>334</v>
      </c>
      <c r="H27" s="20" t="s">
        <v>335</v>
      </c>
      <c r="I27" s="20" t="s">
        <v>336</v>
      </c>
      <c r="J27" s="20" t="s">
        <v>337</v>
      </c>
      <c r="K27" s="20" t="s">
        <v>338</v>
      </c>
      <c r="L27" s="20" t="s">
        <v>339</v>
      </c>
      <c r="M27" s="20" t="s">
        <v>340</v>
      </c>
      <c r="N27" s="20" t="s">
        <v>341</v>
      </c>
      <c r="O27" s="20" t="s">
        <v>342</v>
      </c>
      <c r="P27" s="20" t="s">
        <v>343</v>
      </c>
      <c r="Q27" s="20" t="s">
        <v>344</v>
      </c>
      <c r="R27" s="13" t="s">
        <v>345</v>
      </c>
    </row>
    <row r="28" spans="2:18">
      <c r="B28" s="28" t="s">
        <v>117</v>
      </c>
      <c r="C28" s="7" t="s">
        <v>347</v>
      </c>
      <c r="D28" s="7" t="s">
        <v>347</v>
      </c>
      <c r="E28" s="7" t="s">
        <v>347</v>
      </c>
      <c r="F28" s="7" t="s">
        <v>347</v>
      </c>
      <c r="G28" s="114" t="s">
        <v>347</v>
      </c>
      <c r="H28" s="7" t="s">
        <v>347</v>
      </c>
      <c r="I28" s="7" t="s">
        <v>347</v>
      </c>
      <c r="J28" s="7" t="s">
        <v>347</v>
      </c>
      <c r="K28" s="7" t="s">
        <v>347</v>
      </c>
      <c r="L28" s="7" t="s">
        <v>347</v>
      </c>
      <c r="M28" s="7" t="s">
        <v>348</v>
      </c>
      <c r="N28" s="7" t="s">
        <v>348</v>
      </c>
      <c r="O28" s="7" t="s">
        <v>348</v>
      </c>
      <c r="P28" s="7" t="s">
        <v>348</v>
      </c>
      <c r="Q28" s="7" t="s">
        <v>348</v>
      </c>
      <c r="R28" s="30" t="s">
        <v>348</v>
      </c>
    </row>
    <row r="34" spans="2:8">
      <c r="B34" s="1" t="s">
        <v>304</v>
      </c>
    </row>
    <row r="35" spans="2:8">
      <c r="B35" s="5" t="s">
        <v>288</v>
      </c>
      <c r="C35" s="5" t="s">
        <v>123</v>
      </c>
      <c r="D35" s="5" t="s">
        <v>118</v>
      </c>
      <c r="E35" s="5" t="s">
        <v>305</v>
      </c>
      <c r="F35" s="69" t="s">
        <v>118</v>
      </c>
      <c r="G35" s="69" t="s">
        <v>305</v>
      </c>
      <c r="H35" s="69" t="s">
        <v>306</v>
      </c>
    </row>
    <row r="36" spans="2:8">
      <c r="B36" s="3" t="str">
        <f t="shared" ref="B36:B52" si="0">B4</f>
        <v>Amount - Plug Plant</v>
      </c>
      <c r="C36" s="3" t="str">
        <f>$B$28</f>
        <v>Amount</v>
      </c>
      <c r="D36" s="3" t="str">
        <f t="shared" ref="D36:D52" si="1">B36&amp;C36</f>
        <v>Amount - Plug PlantAmount</v>
      </c>
      <c r="E36" s="44">
        <v>1.6286624999999999</v>
      </c>
      <c r="F36" s="67" t="str">
        <f>Revegetation_Raw_Material_Costs[[#This Row],[LOOKUP]]</f>
        <v>Amount - Plug PlantAmount</v>
      </c>
      <c r="G36" s="58">
        <v>0</v>
      </c>
      <c r="H36" s="58">
        <v>0</v>
      </c>
    </row>
    <row r="37" spans="2:8">
      <c r="B37" s="3" t="str">
        <f t="shared" si="0"/>
        <v>Area - Brash/Mulch</v>
      </c>
      <c r="C37" s="3" t="str">
        <f>$C$28</f>
        <v>Hectares</v>
      </c>
      <c r="D37" s="3" t="str">
        <f t="shared" si="1"/>
        <v>Area - Brash/MulchHectares</v>
      </c>
      <c r="E37" s="44">
        <v>6848.2145760000003</v>
      </c>
      <c r="F37" s="68" t="str">
        <f>Revegetation_Raw_Material_Costs[[#This Row],[LOOKUP]]</f>
        <v>Area - Brash/MulchHectares</v>
      </c>
      <c r="G37" s="45">
        <f>G39</f>
        <v>573.30784999999992</v>
      </c>
      <c r="H37" s="45">
        <f>H39</f>
        <v>1</v>
      </c>
    </row>
    <row r="38" spans="2:8">
      <c r="B38" s="3" t="str">
        <f t="shared" si="0"/>
        <v>Area - Geojute/Geotextile</v>
      </c>
      <c r="C38" s="3" t="str">
        <f>$D$28</f>
        <v>Hectares</v>
      </c>
      <c r="D38" s="3" t="str">
        <f t="shared" si="1"/>
        <v>Area - Geojute/GeotextileHectares</v>
      </c>
      <c r="E38" s="44">
        <v>61644.564434266664</v>
      </c>
      <c r="F38" s="67" t="str">
        <f>Revegetation_Raw_Material_Costs[[#This Row],[LOOKUP]]</f>
        <v>Area - Geojute/GeotextileHectares</v>
      </c>
      <c r="G38" s="58">
        <v>0</v>
      </c>
      <c r="H38" s="58">
        <v>0</v>
      </c>
    </row>
    <row r="39" spans="2:8">
      <c r="B39" s="3" t="str">
        <f t="shared" si="0"/>
        <v>Area - Heather Brash</v>
      </c>
      <c r="C39" s="3" t="str">
        <f>$E$28</f>
        <v>Hectares</v>
      </c>
      <c r="D39" s="3" t="str">
        <f t="shared" si="1"/>
        <v>Area - Heather BrashHectares</v>
      </c>
      <c r="E39" s="44">
        <v>6848.2145760000003</v>
      </c>
      <c r="F39" s="68" t="str">
        <f>Revegetation_Raw_Material_Costs[[#This Row],[LOOKUP]]</f>
        <v>Area - Heather BrashHectares</v>
      </c>
      <c r="G39" s="45">
        <v>573.30784999999992</v>
      </c>
      <c r="H39" s="45">
        <v>1</v>
      </c>
    </row>
    <row r="40" spans="2:8">
      <c r="B40" s="3" t="str">
        <f t="shared" si="0"/>
        <v>Area - Lime &amp; Fertiliser</v>
      </c>
      <c r="C40" s="3" t="str">
        <f>$F$28</f>
        <v>Hectares</v>
      </c>
      <c r="D40" s="3" t="str">
        <f t="shared" si="1"/>
        <v>Area - Lime &amp; FertiliserHectares</v>
      </c>
      <c r="E40" s="44">
        <v>1911.5513411000002</v>
      </c>
      <c r="F40" s="67" t="str">
        <f>Revegetation_Raw_Material_Costs[[#This Row],[LOOKUP]]</f>
        <v>Area - Lime &amp; FertiliserHectares</v>
      </c>
      <c r="G40" s="58">
        <v>0</v>
      </c>
      <c r="H40" s="58">
        <v>0</v>
      </c>
    </row>
    <row r="41" spans="2:8">
      <c r="B41" s="3" t="str">
        <f t="shared" si="0"/>
        <v>Area - Living Carpet</v>
      </c>
      <c r="C41" s="3" t="str">
        <f>$G$28</f>
        <v>Hectares</v>
      </c>
      <c r="D41" s="3" t="str">
        <f t="shared" si="1"/>
        <v>Area - Living CarpetHectares</v>
      </c>
      <c r="E41" s="44">
        <v>0</v>
      </c>
      <c r="F41" s="68" t="str">
        <f>Revegetation_Raw_Material_Costs[[#This Row],[LOOKUP]]</f>
        <v>Area - Living CarpetHectares</v>
      </c>
      <c r="G41" s="45">
        <v>0</v>
      </c>
      <c r="H41" s="45">
        <v>0</v>
      </c>
    </row>
    <row r="42" spans="2:8">
      <c r="B42" s="3" t="str">
        <f t="shared" si="0"/>
        <v>Area - Micro-Erosion Repair</v>
      </c>
      <c r="C42" s="3" t="str">
        <f>$H$28</f>
        <v>Hectares</v>
      </c>
      <c r="D42" s="3" t="str">
        <f t="shared" si="1"/>
        <v>Area - Micro-Erosion RepairHectares</v>
      </c>
      <c r="E42" s="44">
        <v>0</v>
      </c>
      <c r="F42" s="67" t="str">
        <f>Revegetation_Raw_Material_Costs[[#This Row],[LOOKUP]]</f>
        <v>Area - Micro-Erosion RepairHectares</v>
      </c>
      <c r="G42" s="58">
        <v>0</v>
      </c>
      <c r="H42" s="58">
        <v>0</v>
      </c>
    </row>
    <row r="43" spans="2:8">
      <c r="B43" s="3" t="str">
        <f t="shared" si="0"/>
        <v>Area - Reinstatement</v>
      </c>
      <c r="C43" s="3" t="str">
        <f>$I$28</f>
        <v>Hectares</v>
      </c>
      <c r="D43" s="3" t="str">
        <f t="shared" si="1"/>
        <v>Area - ReinstatementHectares</v>
      </c>
      <c r="E43" s="44">
        <v>0</v>
      </c>
      <c r="F43" s="68" t="str">
        <f>Revegetation_Raw_Material_Costs[[#This Row],[LOOKUP]]</f>
        <v>Area - ReinstatementHectares</v>
      </c>
      <c r="G43" s="45">
        <v>0</v>
      </c>
      <c r="H43" s="45">
        <v>0</v>
      </c>
    </row>
    <row r="44" spans="2:8">
      <c r="B44" s="3" t="str">
        <f t="shared" si="0"/>
        <v>Area - Sphagnum Transplant (Internal)</v>
      </c>
      <c r="C44" s="3" t="str">
        <f>$J$28</f>
        <v>Hectares</v>
      </c>
      <c r="D44" s="3" t="str">
        <f t="shared" si="1"/>
        <v>Area - Sphagnum Transplant (Internal)Hectares</v>
      </c>
      <c r="E44" s="44">
        <v>0</v>
      </c>
      <c r="F44" s="67" t="str">
        <f>Revegetation_Raw_Material_Costs[[#This Row],[LOOKUP]]</f>
        <v>Area - Sphagnum Transplant (Internal)Hectares</v>
      </c>
      <c r="G44" s="58">
        <v>0</v>
      </c>
      <c r="H44" s="58">
        <v>0</v>
      </c>
    </row>
    <row r="45" spans="2:8">
      <c r="B45" s="3" t="str">
        <f t="shared" si="0"/>
        <v>Area - Whole Turving (Imported)</v>
      </c>
      <c r="C45" s="3" t="str">
        <f>$K$28</f>
        <v>Hectares</v>
      </c>
      <c r="D45" s="3" t="str">
        <f t="shared" si="1"/>
        <v>Area - Whole Turving (Imported)Hectares</v>
      </c>
      <c r="E45" s="44">
        <v>0</v>
      </c>
      <c r="F45" s="68" t="str">
        <f>Revegetation_Raw_Material_Costs[[#This Row],[LOOKUP]]</f>
        <v>Area - Whole Turving (Imported)Hectares</v>
      </c>
      <c r="G45" s="45">
        <v>0</v>
      </c>
      <c r="H45" s="45">
        <v>0</v>
      </c>
    </row>
    <row r="46" spans="2:8">
      <c r="B46" s="3" t="str">
        <f t="shared" si="0"/>
        <v>Area - Whole Turving (Local)</v>
      </c>
      <c r="C46" s="3" t="str">
        <f>$L$28</f>
        <v>Hectares</v>
      </c>
      <c r="D46" s="3" t="str">
        <f t="shared" si="1"/>
        <v>Area - Whole Turving (Local)Hectares</v>
      </c>
      <c r="E46" s="44">
        <v>0</v>
      </c>
      <c r="F46" s="67" t="str">
        <f>Revegetation_Raw_Material_Costs[[#This Row],[LOOKUP]]</f>
        <v>Area - Whole Turving (Local)Hectares</v>
      </c>
      <c r="G46" s="58">
        <v>0</v>
      </c>
      <c r="H46" s="58">
        <v>0</v>
      </c>
    </row>
    <row r="47" spans="2:8">
      <c r="B47" s="3" t="str">
        <f t="shared" si="0"/>
        <v>Linear - Hag/Gully/Bank Reprofiling (Double)</v>
      </c>
      <c r="C47" s="3" t="str">
        <f>$M$28</f>
        <v>Meters</v>
      </c>
      <c r="D47" s="3" t="str">
        <f t="shared" si="1"/>
        <v>Linear - Hag/Gully/Bank Reprofiling (Double)Meters</v>
      </c>
      <c r="E47" s="44">
        <v>0</v>
      </c>
      <c r="F47" s="68" t="str">
        <f>Revegetation_Raw_Material_Costs[[#This Row],[LOOKUP]]</f>
        <v>Linear - Hag/Gully/Bank Reprofiling (Double)Meters</v>
      </c>
      <c r="G47" s="37">
        <v>0</v>
      </c>
      <c r="H47" s="45">
        <v>0</v>
      </c>
    </row>
    <row r="48" spans="2:8">
      <c r="B48" s="3" t="str">
        <f t="shared" si="0"/>
        <v>Linear - Hag/Gully/Bank Reprofiling (Single)</v>
      </c>
      <c r="C48" s="3" t="str">
        <f>$N$28</f>
        <v>Meters</v>
      </c>
      <c r="D48" s="3" t="str">
        <f t="shared" si="1"/>
        <v>Linear - Hag/Gully/Bank Reprofiling (Single)Meters</v>
      </c>
      <c r="E48" s="44">
        <v>0</v>
      </c>
      <c r="F48" s="67" t="str">
        <f>Revegetation_Raw_Material_Costs[[#This Row],[LOOKUP]]</f>
        <v>Linear - Hag/Gully/Bank Reprofiling (Single)Meters</v>
      </c>
      <c r="G48" s="46">
        <v>0</v>
      </c>
      <c r="H48" s="46">
        <v>0</v>
      </c>
    </row>
    <row r="49" spans="2:12">
      <c r="B49" s="3" t="str">
        <f t="shared" si="0"/>
        <v>Linear - Hag/Gully/Bank Reprofiling + Imported Turves</v>
      </c>
      <c r="C49" s="3" t="str">
        <f>$O$28</f>
        <v>Meters</v>
      </c>
      <c r="D49" s="3" t="str">
        <f t="shared" si="1"/>
        <v>Linear - Hag/Gully/Bank Reprofiling + Imported TurvesMeters</v>
      </c>
      <c r="E49" s="44">
        <v>0</v>
      </c>
      <c r="F49" s="68" t="str">
        <f>Revegetation_Raw_Material_Costs[[#This Row],[LOOKUP]]</f>
        <v>Linear - Hag/Gully/Bank Reprofiling + Imported TurvesMeters</v>
      </c>
      <c r="G49" s="37">
        <v>0</v>
      </c>
      <c r="H49" s="45">
        <v>0</v>
      </c>
    </row>
    <row r="50" spans="2:12">
      <c r="B50" s="3" t="str">
        <f t="shared" si="0"/>
        <v>Linear - Hag/Gully/Bank Reprofiling + Local Turves</v>
      </c>
      <c r="C50" s="3" t="str">
        <f>$P$28</f>
        <v>Meters</v>
      </c>
      <c r="D50" s="3" t="str">
        <f t="shared" si="1"/>
        <v>Linear - Hag/Gully/Bank Reprofiling + Local TurvesMeters</v>
      </c>
      <c r="E50" s="44">
        <v>0</v>
      </c>
      <c r="F50" s="67" t="str">
        <f>Revegetation_Raw_Material_Costs[[#This Row],[LOOKUP]]</f>
        <v>Linear - Hag/Gully/Bank Reprofiling + Local TurvesMeters</v>
      </c>
      <c r="G50" s="46">
        <v>0</v>
      </c>
      <c r="H50" s="46">
        <v>0</v>
      </c>
    </row>
    <row r="51" spans="2:12">
      <c r="B51" s="3" t="str">
        <f t="shared" si="0"/>
        <v>Linear - Micro-Erosion Repair</v>
      </c>
      <c r="C51" s="3" t="str">
        <f>$Q$28</f>
        <v>Meters</v>
      </c>
      <c r="D51" s="3" t="str">
        <f t="shared" si="1"/>
        <v>Linear - Micro-Erosion RepairMeters</v>
      </c>
      <c r="E51" s="44">
        <v>0</v>
      </c>
      <c r="F51" s="68" t="str">
        <f>Revegetation_Raw_Material_Costs[[#This Row],[LOOKUP]]</f>
        <v>Linear - Micro-Erosion RepairMeters</v>
      </c>
      <c r="G51" s="45">
        <v>0</v>
      </c>
      <c r="H51" s="45">
        <v>0</v>
      </c>
    </row>
    <row r="52" spans="2:12">
      <c r="B52" s="3" t="str">
        <f t="shared" si="0"/>
        <v>Linear - Reinstatement</v>
      </c>
      <c r="C52" s="3" t="str">
        <f>$R$28</f>
        <v>Meters</v>
      </c>
      <c r="D52" s="3" t="str">
        <f t="shared" si="1"/>
        <v>Linear - ReinstatementMeters</v>
      </c>
      <c r="E52" s="44">
        <v>0</v>
      </c>
      <c r="F52" s="67" t="str">
        <f>Revegetation_Raw_Material_Costs[[#This Row],[LOOKUP]]</f>
        <v>Linear - ReinstatementMeters</v>
      </c>
      <c r="G52" s="16">
        <v>0</v>
      </c>
      <c r="H52" s="16">
        <v>0</v>
      </c>
    </row>
    <row r="57" spans="2:12">
      <c r="B57" s="1" t="s">
        <v>307</v>
      </c>
    </row>
    <row r="58" spans="2:12">
      <c r="B58" s="10" t="s">
        <v>288</v>
      </c>
      <c r="C58" s="11" t="s">
        <v>305</v>
      </c>
      <c r="D58" s="12" t="s">
        <v>118</v>
      </c>
      <c r="E58" s="13" t="s">
        <v>349</v>
      </c>
    </row>
    <row r="59" spans="2:12">
      <c r="B59" s="35" t="str">
        <f t="shared" ref="B59:B75" si="2">B4</f>
        <v>Amount - Plug Plant</v>
      </c>
      <c r="C59" s="61" cm="1">
        <f t="array" ref="C59">Project_Vehicle_Costs[Delivery HGV]</f>
        <v>0.98495999999999995</v>
      </c>
      <c r="D59" s="35" t="str">
        <f>D36</f>
        <v>Amount - Plug PlantAmount</v>
      </c>
      <c r="E59" s="104">
        <v>23333</v>
      </c>
    </row>
    <row r="60" spans="2:12">
      <c r="B60" s="38" t="str">
        <f t="shared" si="2"/>
        <v>Area - Brash/Mulch</v>
      </c>
      <c r="C60" s="25" cm="1">
        <f t="array" ref="C60">Project_Vehicle_Costs[17t Delivery]</f>
        <v>1.2018599999999999</v>
      </c>
      <c r="D60" s="38" t="str">
        <f t="shared" ref="D60:D75" si="3">D37</f>
        <v>Area - Brash/MulchHectares</v>
      </c>
      <c r="E60" s="105">
        <v>8.5000000000000006E-2</v>
      </c>
      <c r="F60" s="43"/>
      <c r="G60" s="53"/>
      <c r="H60" s="53"/>
      <c r="I60" s="43"/>
      <c r="J60" s="43"/>
      <c r="K60" s="43"/>
      <c r="L60" s="43"/>
    </row>
    <row r="61" spans="2:12">
      <c r="B61" s="35" t="str">
        <f t="shared" si="2"/>
        <v>Area - Geojute/Geotextile</v>
      </c>
      <c r="C61" s="61" cm="1">
        <f t="array" ref="C61">Project_Vehicle_Costs[Delivery HGV]</f>
        <v>0.98495999999999995</v>
      </c>
      <c r="D61" s="35" t="str">
        <f t="shared" si="3"/>
        <v>Area - Geojute/GeotextileHectares</v>
      </c>
      <c r="E61" s="104">
        <v>0.6</v>
      </c>
    </row>
    <row r="62" spans="2:12">
      <c r="B62" s="38" t="str">
        <f t="shared" si="2"/>
        <v>Area - Heather Brash</v>
      </c>
      <c r="C62" s="25" cm="1">
        <f t="array" ref="C62">Project_Vehicle_Costs[17t Delivery]</f>
        <v>1.2018599999999999</v>
      </c>
      <c r="D62" s="38" t="str">
        <f t="shared" si="3"/>
        <v>Area - Heather BrashHectares</v>
      </c>
      <c r="E62" s="105">
        <v>8.5000000000000006E-2</v>
      </c>
    </row>
    <row r="63" spans="2:12">
      <c r="B63" s="35" t="str">
        <f t="shared" si="2"/>
        <v>Area - Lime &amp; Fertiliser</v>
      </c>
      <c r="C63" s="61" cm="1">
        <f t="array" ref="C63">Project_Vehicle_Costs[Delivery HGV]</f>
        <v>0.98495999999999995</v>
      </c>
      <c r="D63" s="35" t="str">
        <f t="shared" si="3"/>
        <v>Area - Lime &amp; FertiliserHectares</v>
      </c>
      <c r="E63" s="104">
        <v>13.6</v>
      </c>
    </row>
    <row r="64" spans="2:12">
      <c r="B64" s="38" t="str">
        <f t="shared" si="2"/>
        <v>Area - Living Carpet</v>
      </c>
      <c r="C64" s="25">
        <v>0</v>
      </c>
      <c r="D64" s="38" t="str">
        <f t="shared" si="3"/>
        <v>Area - Living CarpetHectares</v>
      </c>
      <c r="E64" s="105">
        <v>0</v>
      </c>
    </row>
    <row r="65" spans="2:18">
      <c r="B65" s="103" t="str">
        <f t="shared" si="2"/>
        <v>Area - Micro-Erosion Repair</v>
      </c>
      <c r="C65" s="61">
        <v>0</v>
      </c>
      <c r="D65" s="35" t="str">
        <f t="shared" si="3"/>
        <v>Area - Micro-Erosion RepairHectares</v>
      </c>
      <c r="E65" s="106">
        <v>0</v>
      </c>
    </row>
    <row r="66" spans="2:18">
      <c r="B66" s="38" t="str">
        <f t="shared" si="2"/>
        <v>Area - Reinstatement</v>
      </c>
      <c r="C66" s="25">
        <v>0</v>
      </c>
      <c r="D66" s="38" t="str">
        <f t="shared" si="3"/>
        <v>Area - ReinstatementHectares</v>
      </c>
      <c r="E66" s="105">
        <v>0</v>
      </c>
    </row>
    <row r="67" spans="2:18">
      <c r="B67" s="103" t="str">
        <f t="shared" si="2"/>
        <v>Area - Sphagnum Transplant (Internal)</v>
      </c>
      <c r="C67" s="61">
        <v>0</v>
      </c>
      <c r="D67" s="35" t="str">
        <f t="shared" si="3"/>
        <v>Area - Sphagnum Transplant (Internal)Hectares</v>
      </c>
      <c r="E67" s="106">
        <v>0</v>
      </c>
    </row>
    <row r="68" spans="2:18">
      <c r="B68" s="38" t="str">
        <f t="shared" si="2"/>
        <v>Area - Whole Turving (Imported)</v>
      </c>
      <c r="C68" s="25">
        <v>0</v>
      </c>
      <c r="D68" s="38" t="str">
        <f t="shared" si="3"/>
        <v>Area - Whole Turving (Imported)Hectares</v>
      </c>
      <c r="E68" s="105">
        <v>0</v>
      </c>
    </row>
    <row r="69" spans="2:18">
      <c r="B69" s="103" t="str">
        <f t="shared" si="2"/>
        <v>Area - Whole Turving (Local)</v>
      </c>
      <c r="C69" s="61">
        <v>0</v>
      </c>
      <c r="D69" s="35" t="str">
        <f t="shared" si="3"/>
        <v>Area - Whole Turving (Local)Hectares</v>
      </c>
      <c r="E69" s="106">
        <v>0</v>
      </c>
      <c r="G69" s="55"/>
      <c r="H69" s="55"/>
      <c r="I69" s="55"/>
      <c r="J69" s="55"/>
      <c r="K69" s="55"/>
      <c r="L69" s="55"/>
      <c r="M69" s="55"/>
      <c r="N69" s="55"/>
      <c r="O69" s="55"/>
      <c r="P69" s="55"/>
      <c r="Q69" s="55"/>
      <c r="R69" s="55"/>
    </row>
    <row r="70" spans="2:18">
      <c r="B70" s="38" t="str">
        <f t="shared" si="2"/>
        <v>Linear - Hag/Gully/Bank Reprofiling (Double)</v>
      </c>
      <c r="C70" s="25">
        <v>0</v>
      </c>
      <c r="D70" s="38" t="str">
        <f t="shared" si="3"/>
        <v>Linear - Hag/Gully/Bank Reprofiling (Double)Meters</v>
      </c>
      <c r="E70" s="105">
        <v>0</v>
      </c>
    </row>
    <row r="71" spans="2:18">
      <c r="B71" s="103" t="str">
        <f t="shared" si="2"/>
        <v>Linear - Hag/Gully/Bank Reprofiling (Single)</v>
      </c>
      <c r="C71" s="61">
        <v>0</v>
      </c>
      <c r="D71" s="35" t="str">
        <f t="shared" si="3"/>
        <v>Linear - Hag/Gully/Bank Reprofiling (Single)Meters</v>
      </c>
      <c r="E71" s="106">
        <v>0</v>
      </c>
    </row>
    <row r="72" spans="2:18">
      <c r="B72" s="38" t="str">
        <f t="shared" si="2"/>
        <v>Linear - Hag/Gully/Bank Reprofiling + Imported Turves</v>
      </c>
      <c r="C72" s="25">
        <v>0</v>
      </c>
      <c r="D72" s="38" t="str">
        <f t="shared" si="3"/>
        <v>Linear - Hag/Gully/Bank Reprofiling + Imported TurvesMeters</v>
      </c>
      <c r="E72" s="105">
        <v>0</v>
      </c>
    </row>
    <row r="73" spans="2:18">
      <c r="B73" s="103" t="str">
        <f t="shared" si="2"/>
        <v>Linear - Hag/Gully/Bank Reprofiling + Local Turves</v>
      </c>
      <c r="C73" s="61">
        <v>0</v>
      </c>
      <c r="D73" s="35" t="str">
        <f t="shared" si="3"/>
        <v>Linear - Hag/Gully/Bank Reprofiling + Local TurvesMeters</v>
      </c>
      <c r="E73" s="106">
        <v>0</v>
      </c>
    </row>
    <row r="74" spans="2:18">
      <c r="B74" s="38" t="str">
        <f t="shared" si="2"/>
        <v>Linear - Micro-Erosion Repair</v>
      </c>
      <c r="C74" s="25">
        <v>0</v>
      </c>
      <c r="D74" s="38" t="str">
        <f t="shared" si="3"/>
        <v>Linear - Micro-Erosion RepairMeters</v>
      </c>
      <c r="E74" s="105">
        <v>0</v>
      </c>
    </row>
    <row r="75" spans="2:18">
      <c r="B75" s="111" t="str">
        <f t="shared" si="2"/>
        <v>Linear - Reinstatement</v>
      </c>
      <c r="C75" s="112">
        <v>0</v>
      </c>
      <c r="D75" s="35" t="str">
        <f t="shared" si="3"/>
        <v>Linear - ReinstatementMeters</v>
      </c>
      <c r="E75" s="113">
        <v>0</v>
      </c>
    </row>
    <row r="81" spans="2:18">
      <c r="B81" s="1" t="s">
        <v>308</v>
      </c>
    </row>
    <row r="82" spans="2:18">
      <c r="B82" s="12" t="s">
        <v>329</v>
      </c>
      <c r="C82" s="20" t="s">
        <v>330</v>
      </c>
      <c r="D82" s="20" t="s">
        <v>331</v>
      </c>
      <c r="E82" s="20" t="s">
        <v>332</v>
      </c>
      <c r="F82" s="20" t="s">
        <v>333</v>
      </c>
      <c r="G82" s="115" t="s">
        <v>334</v>
      </c>
      <c r="H82" s="20" t="s">
        <v>335</v>
      </c>
      <c r="I82" s="20" t="s">
        <v>336</v>
      </c>
      <c r="J82" s="20" t="s">
        <v>337</v>
      </c>
      <c r="K82" s="20" t="s">
        <v>338</v>
      </c>
      <c r="L82" s="20" t="s">
        <v>339</v>
      </c>
      <c r="M82" s="20" t="s">
        <v>340</v>
      </c>
      <c r="N82" s="20" t="s">
        <v>341</v>
      </c>
      <c r="O82" s="20" t="s">
        <v>342</v>
      </c>
      <c r="P82" s="20" t="s">
        <v>343</v>
      </c>
      <c r="Q82" s="20" t="s">
        <v>344</v>
      </c>
      <c r="R82" s="13" t="s">
        <v>345</v>
      </c>
    </row>
    <row r="83" spans="2:18">
      <c r="B83" s="35" t="s">
        <v>309</v>
      </c>
      <c r="C83" s="35" t="s">
        <v>309</v>
      </c>
      <c r="D83" s="40" t="s">
        <v>309</v>
      </c>
      <c r="E83" s="40" t="s">
        <v>309</v>
      </c>
      <c r="F83" s="40" t="s">
        <v>309</v>
      </c>
      <c r="G83" s="114" t="s">
        <v>309</v>
      </c>
      <c r="H83" s="40" t="s">
        <v>310</v>
      </c>
      <c r="I83" s="40" t="s">
        <v>310</v>
      </c>
      <c r="J83" s="40" t="s">
        <v>309</v>
      </c>
      <c r="K83" s="40" t="s">
        <v>310</v>
      </c>
      <c r="L83" s="40" t="s">
        <v>310</v>
      </c>
      <c r="M83" s="40" t="s">
        <v>310</v>
      </c>
      <c r="N83" s="40" t="s">
        <v>310</v>
      </c>
      <c r="O83" s="40" t="s">
        <v>310</v>
      </c>
      <c r="P83" s="40" t="s">
        <v>310</v>
      </c>
      <c r="Q83" s="40" t="s">
        <v>310</v>
      </c>
      <c r="R83" s="42" t="s">
        <v>310</v>
      </c>
    </row>
    <row r="84" spans="2:18">
      <c r="B84" s="38" t="s">
        <v>350</v>
      </c>
      <c r="C84" s="38" t="s">
        <v>132</v>
      </c>
      <c r="D84" s="29" t="s">
        <v>132</v>
      </c>
      <c r="E84" s="29" t="s">
        <v>132</v>
      </c>
      <c r="F84" s="29" t="s">
        <v>132</v>
      </c>
      <c r="G84" s="116" t="s">
        <v>310</v>
      </c>
      <c r="H84" s="29"/>
      <c r="I84" s="29"/>
      <c r="J84" s="29" t="s">
        <v>310</v>
      </c>
      <c r="K84" s="29"/>
      <c r="L84" s="29"/>
      <c r="M84" s="29"/>
      <c r="N84" s="29"/>
      <c r="O84" s="29"/>
      <c r="P84" s="29"/>
      <c r="Q84" s="29"/>
      <c r="R84" s="31"/>
    </row>
    <row r="85" spans="2:18">
      <c r="B85" s="28" t="s">
        <v>310</v>
      </c>
      <c r="C85" s="28" t="s">
        <v>310</v>
      </c>
      <c r="D85" s="7" t="s">
        <v>311</v>
      </c>
      <c r="E85" s="7" t="s">
        <v>310</v>
      </c>
      <c r="F85" s="7" t="s">
        <v>310</v>
      </c>
      <c r="G85" s="117"/>
      <c r="H85" s="7"/>
      <c r="I85" s="7"/>
      <c r="J85" s="7"/>
      <c r="K85" s="7"/>
      <c r="L85" s="7"/>
      <c r="M85" s="7"/>
      <c r="N85" s="7"/>
      <c r="O85" s="7"/>
      <c r="P85" s="7"/>
      <c r="Q85" s="7"/>
      <c r="R85" s="30"/>
    </row>
    <row r="91" spans="2:18">
      <c r="B91" s="1" t="s">
        <v>312</v>
      </c>
    </row>
    <row r="92" spans="2:18">
      <c r="B92" s="5" t="s">
        <v>288</v>
      </c>
      <c r="C92" s="5" t="s">
        <v>123</v>
      </c>
      <c r="D92" s="5" t="s">
        <v>247</v>
      </c>
      <c r="E92" s="5" t="s">
        <v>118</v>
      </c>
      <c r="F92" s="5" t="s">
        <v>305</v>
      </c>
    </row>
    <row r="93" spans="2:18">
      <c r="B93" t="str">
        <f>$B$4</f>
        <v>Amount - Plug Plant</v>
      </c>
      <c r="C93" s="3" t="str">
        <f>$B$28</f>
        <v>Amount</v>
      </c>
      <c r="D93" s="3" t="str">
        <f>B83</f>
        <v>Hand</v>
      </c>
      <c r="E93" s="3" t="str">
        <f>B93&amp;C93&amp;D93</f>
        <v>Amount - Plug PlantAmountHand</v>
      </c>
      <c r="F93" s="44">
        <v>0</v>
      </c>
    </row>
    <row r="94" spans="2:18">
      <c r="B94" t="str">
        <f t="shared" ref="B94:B95" si="4">$B$4</f>
        <v>Amount - Plug Plant</v>
      </c>
      <c r="C94" s="3" t="str">
        <f t="shared" ref="C94:C95" si="5">$B$28</f>
        <v>Amount</v>
      </c>
      <c r="D94" s="3" t="str">
        <f t="shared" ref="D94:D95" si="6">B84</f>
        <v>Helicoper - Assisted</v>
      </c>
      <c r="E94" s="3" t="str">
        <f t="shared" ref="E94:E121" si="7">B94&amp;C94&amp;D94</f>
        <v>Amount - Plug PlantAmountHelicoper - Assisted</v>
      </c>
      <c r="F94" s="44">
        <v>0.16188795000000003</v>
      </c>
    </row>
    <row r="95" spans="2:18">
      <c r="B95" t="str">
        <f t="shared" si="4"/>
        <v>Amount - Plug Plant</v>
      </c>
      <c r="C95" s="3" t="str">
        <f t="shared" si="5"/>
        <v>Amount</v>
      </c>
      <c r="D95" s="3" t="str">
        <f t="shared" si="6"/>
        <v>Machine</v>
      </c>
      <c r="E95" s="3" t="str">
        <f t="shared" si="7"/>
        <v>Amount - Plug PlantAmountMachine</v>
      </c>
      <c r="F95" s="44">
        <v>1.54179E-2</v>
      </c>
    </row>
    <row r="96" spans="2:18">
      <c r="B96" t="str">
        <f>$B$5</f>
        <v>Area - Brash/Mulch</v>
      </c>
      <c r="C96" s="3" t="str">
        <f>$C$28</f>
        <v>Hectares</v>
      </c>
      <c r="D96" s="3" t="str">
        <f>C83</f>
        <v>Hand</v>
      </c>
      <c r="E96" s="3" t="str">
        <f t="shared" si="7"/>
        <v>Area - Brash/MulchHectaresHand</v>
      </c>
      <c r="F96" s="44">
        <v>0</v>
      </c>
    </row>
    <row r="97" spans="2:6">
      <c r="B97" t="str">
        <f t="shared" ref="B97:B98" si="8">$B$5</f>
        <v>Area - Brash/Mulch</v>
      </c>
      <c r="C97" s="3" t="str">
        <f t="shared" ref="C97:C98" si="9">$C$28</f>
        <v>Hectares</v>
      </c>
      <c r="D97" s="3" t="str">
        <f t="shared" ref="D97:D98" si="10">C84</f>
        <v>Helicopter - Assisted</v>
      </c>
      <c r="E97" s="3" t="str">
        <f t="shared" si="7"/>
        <v>Area - Brash/MulchHectaresHelicopter - Assisted</v>
      </c>
      <c r="F97" s="44">
        <v>1553.9993784000001</v>
      </c>
    </row>
    <row r="98" spans="2:6">
      <c r="B98" t="str">
        <f t="shared" si="8"/>
        <v>Area - Brash/Mulch</v>
      </c>
      <c r="C98" s="3" t="str">
        <f t="shared" si="9"/>
        <v>Hectares</v>
      </c>
      <c r="D98" s="3" t="str">
        <f t="shared" si="10"/>
        <v>Machine</v>
      </c>
      <c r="E98" s="3" t="str">
        <f t="shared" si="7"/>
        <v>Area - Brash/MulchHectaresMachine</v>
      </c>
      <c r="F98" s="44">
        <v>262.5</v>
      </c>
    </row>
    <row r="99" spans="2:6">
      <c r="B99" t="str">
        <f>$B$6</f>
        <v>Area - Geojute/Geotextile</v>
      </c>
      <c r="C99" s="3" t="str">
        <f>$D$28</f>
        <v>Hectares</v>
      </c>
      <c r="D99" s="3" t="str">
        <f>D83</f>
        <v>Hand</v>
      </c>
      <c r="E99" s="3" t="str">
        <f t="shared" si="7"/>
        <v>Area - Geojute/GeotextileHectaresHand</v>
      </c>
      <c r="F99" s="44">
        <v>0</v>
      </c>
    </row>
    <row r="100" spans="2:6">
      <c r="B100" t="str">
        <f t="shared" ref="B100:B101" si="11">$B$6</f>
        <v>Area - Geojute/Geotextile</v>
      </c>
      <c r="C100" s="3" t="str">
        <f t="shared" ref="C100:C101" si="12">$D$28</f>
        <v>Hectares</v>
      </c>
      <c r="D100" s="3" t="str">
        <f t="shared" ref="D100:D101" si="13">D84</f>
        <v>Helicopter - Assisted</v>
      </c>
      <c r="E100" s="3" t="str">
        <f t="shared" si="7"/>
        <v>Area - Geojute/GeotextileHectaresHelicopter - Assisted</v>
      </c>
      <c r="F100" s="44">
        <v>1661.9756527080001</v>
      </c>
    </row>
    <row r="101" spans="2:6">
      <c r="B101" t="str">
        <f t="shared" si="11"/>
        <v>Area - Geojute/Geotextile</v>
      </c>
      <c r="C101" s="3" t="str">
        <f t="shared" si="12"/>
        <v>Hectares</v>
      </c>
      <c r="D101" s="3" t="str">
        <f t="shared" si="13"/>
        <v>Machine - Assisted</v>
      </c>
      <c r="E101" s="3" t="str">
        <f t="shared" si="7"/>
        <v>Area - Geojute/GeotextileHectaresMachine - Assisted</v>
      </c>
      <c r="F101" s="44">
        <v>158.283395496</v>
      </c>
    </row>
    <row r="102" spans="2:6">
      <c r="B102" t="str">
        <f>$B$7</f>
        <v>Area - Heather Brash</v>
      </c>
      <c r="C102" s="3" t="str">
        <f>$E$28</f>
        <v>Hectares</v>
      </c>
      <c r="D102" s="3" t="str">
        <f>E83</f>
        <v>Hand</v>
      </c>
      <c r="E102" s="3" t="str">
        <f t="shared" si="7"/>
        <v>Area - Heather BrashHectaresHand</v>
      </c>
      <c r="F102" s="44">
        <v>0</v>
      </c>
    </row>
    <row r="103" spans="2:6">
      <c r="B103" t="str">
        <f t="shared" ref="B103:B104" si="14">$B$7</f>
        <v>Area - Heather Brash</v>
      </c>
      <c r="C103" s="3" t="str">
        <f t="shared" ref="C103:C104" si="15">$E$28</f>
        <v>Hectares</v>
      </c>
      <c r="D103" s="3" t="str">
        <f t="shared" ref="D103:D104" si="16">E84</f>
        <v>Helicopter - Assisted</v>
      </c>
      <c r="E103" s="3" t="str">
        <f t="shared" si="7"/>
        <v>Area - Heather BrashHectaresHelicopter - Assisted</v>
      </c>
      <c r="F103" s="44">
        <f>F97</f>
        <v>1553.9993784000001</v>
      </c>
    </row>
    <row r="104" spans="2:6">
      <c r="B104" t="str">
        <f t="shared" si="14"/>
        <v>Area - Heather Brash</v>
      </c>
      <c r="C104" s="3" t="str">
        <f t="shared" si="15"/>
        <v>Hectares</v>
      </c>
      <c r="D104" s="3" t="str">
        <f t="shared" si="16"/>
        <v>Machine</v>
      </c>
      <c r="E104" s="3" t="str">
        <f t="shared" si="7"/>
        <v>Area - Heather BrashHectaresMachine</v>
      </c>
      <c r="F104" s="44">
        <f>F98</f>
        <v>262.5</v>
      </c>
    </row>
    <row r="105" spans="2:6">
      <c r="B105" t="str">
        <f>$B$8</f>
        <v>Area - Lime &amp; Fertiliser</v>
      </c>
      <c r="C105" s="3" t="str">
        <f>$F$28</f>
        <v>Hectares</v>
      </c>
      <c r="D105" s="3" t="str">
        <f>F83</f>
        <v>Hand</v>
      </c>
      <c r="E105" s="3" t="str">
        <f t="shared" si="7"/>
        <v>Area - Lime &amp; FertiliserHectaresHand</v>
      </c>
      <c r="F105" s="44">
        <v>0</v>
      </c>
    </row>
    <row r="106" spans="2:6">
      <c r="B106" t="str">
        <f t="shared" ref="B106:B107" si="17">$B$8</f>
        <v>Area - Lime &amp; Fertiliser</v>
      </c>
      <c r="C106" s="3" t="str">
        <f t="shared" ref="C106:C107" si="18">$F$28</f>
        <v>Hectares</v>
      </c>
      <c r="D106" s="3" t="str">
        <f t="shared" ref="D106:D107" si="19">F84</f>
        <v>Helicopter - Assisted</v>
      </c>
      <c r="E106" s="3" t="str">
        <f t="shared" si="7"/>
        <v>Area - Lime &amp; FertiliserHectaresHelicopter - Assisted</v>
      </c>
      <c r="F106" s="44">
        <v>129.60360000000003</v>
      </c>
    </row>
    <row r="107" spans="2:6">
      <c r="B107" t="str">
        <f t="shared" si="17"/>
        <v>Area - Lime &amp; Fertiliser</v>
      </c>
      <c r="C107" s="3" t="str">
        <f t="shared" si="18"/>
        <v>Hectares</v>
      </c>
      <c r="D107" s="3" t="str">
        <f t="shared" si="19"/>
        <v>Machine</v>
      </c>
      <c r="E107" s="3" t="str">
        <f t="shared" si="7"/>
        <v>Area - Lime &amp; FertiliserHectaresMachine</v>
      </c>
      <c r="F107" s="44">
        <v>8.1033749999999998</v>
      </c>
    </row>
    <row r="108" spans="2:6">
      <c r="B108" t="str">
        <f>$B$9</f>
        <v>Area - Living Carpet</v>
      </c>
      <c r="C108" s="3" t="str">
        <f>$G$28</f>
        <v>Hectares</v>
      </c>
      <c r="D108" s="3" t="str">
        <f>G83</f>
        <v>Hand</v>
      </c>
      <c r="E108" s="3" t="str">
        <f>B108&amp;C108&amp;D108</f>
        <v>Area - Living CarpetHectaresHand</v>
      </c>
      <c r="F108" s="44">
        <v>0</v>
      </c>
    </row>
    <row r="109" spans="2:6">
      <c r="B109" t="str">
        <f>$B$9</f>
        <v>Area - Living Carpet</v>
      </c>
      <c r="C109" s="3" t="str">
        <f>$G$28</f>
        <v>Hectares</v>
      </c>
      <c r="D109" s="3" t="str">
        <f>G84</f>
        <v>Machine</v>
      </c>
      <c r="E109" s="3" t="str">
        <f>B109&amp;C109&amp;D109</f>
        <v>Area - Living CarpetHectaresMachine</v>
      </c>
      <c r="F109" s="44">
        <f>0.75*F104</f>
        <v>196.875</v>
      </c>
    </row>
    <row r="110" spans="2:6">
      <c r="B110" t="str">
        <f>$B$10</f>
        <v>Area - Micro-Erosion Repair</v>
      </c>
      <c r="C110" s="3" t="str">
        <f>$H$28</f>
        <v>Hectares</v>
      </c>
      <c r="D110" s="3" t="str">
        <f>$H$83</f>
        <v>Machine</v>
      </c>
      <c r="E110" s="3" t="str">
        <f t="shared" si="7"/>
        <v>Area - Micro-Erosion RepairHectaresMachine</v>
      </c>
      <c r="F110" s="44">
        <v>442.89266400000008</v>
      </c>
    </row>
    <row r="111" spans="2:6">
      <c r="B111" t="str">
        <f>$B$11</f>
        <v>Area - Reinstatement</v>
      </c>
      <c r="C111" s="3" t="str">
        <f>$I$28</f>
        <v>Hectares</v>
      </c>
      <c r="D111" s="3" t="str">
        <f>$I$83</f>
        <v>Machine</v>
      </c>
      <c r="E111" s="3" t="str">
        <f t="shared" si="7"/>
        <v>Area - ReinstatementHectaresMachine</v>
      </c>
      <c r="F111" s="44">
        <v>442.89266400000008</v>
      </c>
    </row>
    <row r="112" spans="2:6">
      <c r="B112" t="str">
        <f>$B$12</f>
        <v>Area - Sphagnum Transplant (Internal)</v>
      </c>
      <c r="C112" s="3" t="str">
        <f>$J$28</f>
        <v>Hectares</v>
      </c>
      <c r="D112" s="3" t="str">
        <f>J83</f>
        <v>Hand</v>
      </c>
      <c r="E112" s="3" t="str">
        <f>B112&amp;C112&amp;D112</f>
        <v>Area - Sphagnum Transplant (Internal)HectaresHand</v>
      </c>
      <c r="F112" s="44">
        <v>0</v>
      </c>
    </row>
    <row r="113" spans="2:6">
      <c r="B113" t="str">
        <f>$B$12</f>
        <v>Area - Sphagnum Transplant (Internal)</v>
      </c>
      <c r="C113" s="3" t="str">
        <f>$J$28</f>
        <v>Hectares</v>
      </c>
      <c r="D113" s="3" t="str">
        <f>J84</f>
        <v>Machine</v>
      </c>
      <c r="E113" s="3" t="str">
        <f>B113&amp;C113&amp;D113</f>
        <v>Area - Sphagnum Transplant (Internal)HectaresMachine</v>
      </c>
      <c r="F113" s="44">
        <f>0.8*F114</f>
        <v>321.40800000000007</v>
      </c>
    </row>
    <row r="114" spans="2:6">
      <c r="B114" t="str">
        <f>$B$13</f>
        <v>Area - Whole Turving (Imported)</v>
      </c>
      <c r="C114" s="3" t="str">
        <f>$K$28</f>
        <v>Hectares</v>
      </c>
      <c r="D114" s="3" t="str">
        <f>$K$83</f>
        <v>Machine</v>
      </c>
      <c r="E114" s="3" t="str">
        <f t="shared" si="7"/>
        <v>Area - Whole Turving (Imported)HectaresMachine</v>
      </c>
      <c r="F114" s="44">
        <f>F115*1.35</f>
        <v>401.76000000000005</v>
      </c>
    </row>
    <row r="115" spans="2:6">
      <c r="B115" t="str">
        <f>$B$14</f>
        <v>Area - Whole Turving (Local)</v>
      </c>
      <c r="C115" s="3" t="str">
        <f>$L$28</f>
        <v>Hectares</v>
      </c>
      <c r="D115" s="3" t="str">
        <f>$L$83</f>
        <v>Machine</v>
      </c>
      <c r="E115" s="3" t="str">
        <f t="shared" si="7"/>
        <v>Area - Whole Turving (Local)HectaresMachine</v>
      </c>
      <c r="F115" s="44">
        <f>F117*10000</f>
        <v>297.60000000000002</v>
      </c>
    </row>
    <row r="116" spans="2:6">
      <c r="B116" t="str">
        <f>$B$15</f>
        <v>Linear - Hag/Gully/Bank Reprofiling (Double)</v>
      </c>
      <c r="C116" s="3" t="str">
        <f>$M$28</f>
        <v>Meters</v>
      </c>
      <c r="D116" s="3" t="str">
        <f>$M$83</f>
        <v>Machine</v>
      </c>
      <c r="E116" s="3" t="str">
        <f t="shared" si="7"/>
        <v>Linear - Hag/Gully/Bank Reprofiling (Double)MetersMachine</v>
      </c>
      <c r="F116" s="44">
        <f>F117*2</f>
        <v>5.9520000000000003E-2</v>
      </c>
    </row>
    <row r="117" spans="2:6">
      <c r="B117" t="str">
        <f>$B$16</f>
        <v>Linear - Hag/Gully/Bank Reprofiling (Single)</v>
      </c>
      <c r="C117" s="3" t="str">
        <f>$N$28</f>
        <v>Meters</v>
      </c>
      <c r="D117" s="3" t="str">
        <f>$N$83</f>
        <v>Machine</v>
      </c>
      <c r="E117" s="3" t="str">
        <f t="shared" si="7"/>
        <v>Linear - Hag/Gully/Bank Reprofiling (Single)MetersMachine</v>
      </c>
      <c r="F117" s="44">
        <v>2.9760000000000002E-2</v>
      </c>
    </row>
    <row r="118" spans="2:6">
      <c r="B118" t="str">
        <f>$B$17</f>
        <v>Linear - Hag/Gully/Bank Reprofiling + Imported Turves</v>
      </c>
      <c r="C118" s="3" t="str">
        <f>$O$28</f>
        <v>Meters</v>
      </c>
      <c r="D118" s="3" t="str">
        <f>$O$83</f>
        <v>Machine</v>
      </c>
      <c r="E118" s="3" t="str">
        <f t="shared" si="7"/>
        <v>Linear - Hag/Gully/Bank Reprofiling + Imported TurvesMetersMachine</v>
      </c>
      <c r="F118" s="44">
        <v>9.4749377999999995E-2</v>
      </c>
    </row>
    <row r="119" spans="2:6">
      <c r="B119" t="str">
        <f>$B$18</f>
        <v>Linear - Hag/Gully/Bank Reprofiling + Local Turves</v>
      </c>
      <c r="C119" s="3" t="str">
        <f>$P$28</f>
        <v>Meters</v>
      </c>
      <c r="D119" s="3" t="str">
        <f>$P$83</f>
        <v>Machine</v>
      </c>
      <c r="E119" s="3" t="str">
        <f t="shared" si="7"/>
        <v>Linear - Hag/Gully/Bank Reprofiling + Local TurvesMetersMachine</v>
      </c>
      <c r="F119" s="44">
        <v>3.3033378000000002E-2</v>
      </c>
    </row>
    <row r="120" spans="2:6">
      <c r="B120" t="str">
        <f>$B$19</f>
        <v>Linear - Micro-Erosion Repair</v>
      </c>
      <c r="C120" s="3" t="str">
        <f>$Q$28</f>
        <v>Meters</v>
      </c>
      <c r="D120" s="3" t="str">
        <f>$Q$83</f>
        <v>Machine</v>
      </c>
      <c r="E120" s="3" t="str">
        <f t="shared" si="7"/>
        <v>Linear - Micro-Erosion RepairMetersMachine</v>
      </c>
      <c r="F120" s="44">
        <v>0.35431413120000005</v>
      </c>
    </row>
    <row r="121" spans="2:6">
      <c r="B121" t="str">
        <f>$B$20</f>
        <v>Linear - Reinstatement</v>
      </c>
      <c r="C121" s="3" t="str">
        <f>$R$28</f>
        <v>Meters</v>
      </c>
      <c r="D121" s="3" t="str">
        <f>$R$83</f>
        <v>Machine</v>
      </c>
      <c r="E121" s="3" t="str">
        <f t="shared" si="7"/>
        <v>Linear - ReinstatementMetersMachine</v>
      </c>
      <c r="F121" s="44">
        <v>0.35431413120000005</v>
      </c>
    </row>
  </sheetData>
  <sheetProtection algorithmName="SHA-512" hashValue="d2KERaf3FaOh5gkajuz/rYaERgNVi/aEitpBWOj1Xa4egPMrA9i1rgD8klW9lFZ8PSkgiJnvEYyMxmk2EZ+ZKg==" saltValue="yu79orBT3h6+Y+EuZiTLUg==" spinCount="100000" sheet="1" objects="1" scenarios="1" selectLockedCells="1" selectUnlockedCells="1"/>
  <sortState xmlns:xlrd2="http://schemas.microsoft.com/office/spreadsheetml/2017/richdata2" ref="B4:B20">
    <sortCondition ref="B3:B20"/>
  </sortState>
  <pageMargins left="0.7" right="0.7" top="0.75" bottom="0.75" header="0.3" footer="0.3"/>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FEEF9-BA6A-47AE-AD56-43DA246E2CD3}">
  <dimension ref="B2:J273"/>
  <sheetViews>
    <sheetView zoomScale="85" zoomScaleNormal="85" workbookViewId="0">
      <selection sqref="A1:XFD1048576"/>
    </sheetView>
  </sheetViews>
  <sheetFormatPr defaultRowHeight="14.45"/>
  <cols>
    <col min="2" max="2" width="67" bestFit="1" customWidth="1"/>
    <col min="3" max="3" width="12.42578125" bestFit="1" customWidth="1"/>
    <col min="4" max="4" width="15.28515625" bestFit="1" customWidth="1"/>
    <col min="5" max="5" width="12.5703125" bestFit="1" customWidth="1"/>
    <col min="6" max="6" width="12.5703125" customWidth="1"/>
    <col min="7" max="7" width="13.5703125" bestFit="1" customWidth="1"/>
    <col min="8" max="8" width="19.7109375" bestFit="1" customWidth="1"/>
    <col min="9" max="9" width="27.42578125" bestFit="1" customWidth="1"/>
    <col min="10" max="10" width="14.140625" bestFit="1" customWidth="1"/>
  </cols>
  <sheetData>
    <row r="2" spans="2:10">
      <c r="B2" s="1" t="s">
        <v>351</v>
      </c>
    </row>
    <row r="3" spans="2:10">
      <c r="B3" s="3" t="s">
        <v>352</v>
      </c>
      <c r="C3" s="3" t="s">
        <v>353</v>
      </c>
      <c r="D3" s="3" t="s">
        <v>354</v>
      </c>
      <c r="E3" s="3" t="s">
        <v>154</v>
      </c>
      <c r="F3" s="3" t="s">
        <v>355</v>
      </c>
      <c r="G3" s="3" t="s">
        <v>356</v>
      </c>
      <c r="H3" s="73" t="s">
        <v>206</v>
      </c>
      <c r="I3" s="72" t="s">
        <v>357</v>
      </c>
      <c r="J3" s="3" t="s">
        <v>358</v>
      </c>
    </row>
    <row r="4" spans="2:10">
      <c r="B4" s="7">
        <f>0.566*1.75</f>
        <v>0.99049999999999994</v>
      </c>
      <c r="C4" s="7">
        <v>1.0390900000000001</v>
      </c>
      <c r="D4" s="7">
        <v>0.98495999999999995</v>
      </c>
      <c r="E4" s="74">
        <v>2.4864000000000002</v>
      </c>
      <c r="F4" s="74">
        <f>0.85*Project_Vehicle_Costs[[#This Row],[Other LPGV]]</f>
        <v>1.0458399999999999</v>
      </c>
      <c r="G4" s="7">
        <v>1.2303999999999999</v>
      </c>
      <c r="H4" s="28">
        <v>0.20194599999999999</v>
      </c>
      <c r="I4" s="7">
        <f>H4*1.75</f>
        <v>0.35340549999999998</v>
      </c>
      <c r="J4" s="30">
        <v>1.2018599999999999</v>
      </c>
    </row>
    <row r="6" spans="2:10">
      <c r="B6" s="43"/>
      <c r="C6" s="43"/>
      <c r="D6" s="43"/>
      <c r="E6" s="43"/>
      <c r="F6" s="43"/>
      <c r="G6" s="43"/>
      <c r="H6" s="43"/>
      <c r="I6" s="43"/>
      <c r="J6" s="43"/>
    </row>
    <row r="7" spans="2:10">
      <c r="E7" s="75"/>
      <c r="F7" s="75"/>
    </row>
    <row r="10" spans="2:10">
      <c r="B10" s="1" t="s">
        <v>359</v>
      </c>
    </row>
    <row r="11" spans="2:10">
      <c r="B11" s="3" t="s">
        <v>115</v>
      </c>
      <c r="C11" s="3" t="s">
        <v>360</v>
      </c>
      <c r="D11" s="18" t="s">
        <v>361</v>
      </c>
    </row>
    <row r="12" spans="2:10">
      <c r="B12" s="3" t="str">
        <f>'Revegetation Data'!E93</f>
        <v>Amount - Plug PlantAmountHand</v>
      </c>
      <c r="C12" s="48">
        <f>IFERROR(D12/'Carbon Costs Calculator'!$AD$12,'Project Data'!D12)</f>
        <v>1.39E-3</v>
      </c>
      <c r="D12" s="48">
        <v>1.39E-3</v>
      </c>
    </row>
    <row r="13" spans="2:10">
      <c r="B13" s="3" t="str">
        <f>'Revegetation Data'!E94</f>
        <v>Amount - Plug PlantAmountHelicoper - Assisted</v>
      </c>
      <c r="C13" s="49">
        <f>IFERROR(D13/'Carbon Costs Calculator'!$AD$10,'Project Data'!D13)</f>
        <v>3.5E-4</v>
      </c>
      <c r="D13" s="49">
        <v>3.5E-4</v>
      </c>
    </row>
    <row r="14" spans="2:10">
      <c r="B14" s="3" t="str">
        <f>'Revegetation Data'!E95</f>
        <v>Amount - Plug PlantAmountMachine</v>
      </c>
      <c r="C14" s="48">
        <f>IFERROR(D14/'Carbon Costs Calculator'!$AD$8,'Project Data'!D14)</f>
        <v>6.8999999999999997E-4</v>
      </c>
      <c r="D14" s="48">
        <v>6.8999999999999997E-4</v>
      </c>
    </row>
    <row r="15" spans="2:10">
      <c r="B15" s="3" t="str">
        <f>'Revegetation Data'!E96</f>
        <v>Area - Brash/MulchHectaresHand</v>
      </c>
      <c r="C15" s="49">
        <f>IFERROR(D15/'Carbon Costs Calculator'!$AD$12,'Project Data'!D15)</f>
        <v>40</v>
      </c>
      <c r="D15" s="49">
        <v>40</v>
      </c>
    </row>
    <row r="16" spans="2:10">
      <c r="B16" s="3" t="str">
        <f>'Revegetation Data'!E97</f>
        <v>Area - Brash/MulchHectaresHelicopter - Assisted</v>
      </c>
      <c r="C16" s="48">
        <f>IFERROR(D16/'Carbon Costs Calculator'!$AD$10,'Project Data'!D16)</f>
        <v>3.3333300000000001</v>
      </c>
      <c r="D16" s="48">
        <v>3.3333300000000001</v>
      </c>
    </row>
    <row r="17" spans="2:4">
      <c r="B17" s="3" t="str">
        <f>'Revegetation Data'!E98</f>
        <v>Area - Brash/MulchHectaresMachine</v>
      </c>
      <c r="C17" s="49">
        <f>IFERROR(D17/'Carbon Costs Calculator'!$AD$9,'Project Data'!D17)</f>
        <v>7</v>
      </c>
      <c r="D17" s="49">
        <v>7</v>
      </c>
    </row>
    <row r="18" spans="2:4">
      <c r="B18" s="3" t="str">
        <f>'Revegetation Data'!E99</f>
        <v>Area - Geojute/GeotextileHectaresHand</v>
      </c>
      <c r="C18" s="48">
        <f>IFERROR(D18/'Carbon Costs Calculator'!$AD$12,'Project Data'!D18)</f>
        <v>17.82471</v>
      </c>
      <c r="D18" s="48">
        <v>17.82471</v>
      </c>
    </row>
    <row r="19" spans="2:4">
      <c r="B19" s="3" t="str">
        <f>'Revegetation Data'!E100</f>
        <v>Area - Geojute/GeotextileHectaresHelicopter - Assisted</v>
      </c>
      <c r="C19" s="49">
        <f>IFERROR(D19/'Carbon Costs Calculator'!$AD$10,'Project Data'!D19)</f>
        <v>3.56494</v>
      </c>
      <c r="D19" s="49">
        <v>3.56494</v>
      </c>
    </row>
    <row r="20" spans="2:4">
      <c r="B20" s="3" t="str">
        <f>'Revegetation Data'!E101</f>
        <v>Area - Geojute/GeotextileHectaresMachine - Assisted</v>
      </c>
      <c r="C20" s="48">
        <f>IFERROR(D20/'Carbon Costs Calculator'!$AD$8,'Project Data'!D20)</f>
        <v>7.12988</v>
      </c>
      <c r="D20" s="48">
        <v>7.12988</v>
      </c>
    </row>
    <row r="21" spans="2:4">
      <c r="B21" s="3" t="str">
        <f>'Revegetation Data'!E102</f>
        <v>Area - Heather BrashHectaresHand</v>
      </c>
      <c r="C21" s="49">
        <f>IFERROR(D21/'Carbon Costs Calculator'!$AD$12,'Project Data'!D21)</f>
        <v>40</v>
      </c>
      <c r="D21" s="49">
        <v>40</v>
      </c>
    </row>
    <row r="22" spans="2:4">
      <c r="B22" s="3" t="str">
        <f>'Revegetation Data'!E103</f>
        <v>Area - Heather BrashHectaresHelicopter - Assisted</v>
      </c>
      <c r="C22" s="48">
        <f>IFERROR(D22/'Carbon Costs Calculator'!$AD$10,'Project Data'!D22)</f>
        <v>3.3333300000000001</v>
      </c>
      <c r="D22" s="48">
        <v>3.3333300000000001</v>
      </c>
    </row>
    <row r="23" spans="2:4">
      <c r="B23" s="3" t="str">
        <f>'Revegetation Data'!E104</f>
        <v>Area - Heather BrashHectaresMachine</v>
      </c>
      <c r="C23" s="49">
        <f>IFERROR(D23/'Carbon Costs Calculator'!$AD$9,'Project Data'!D23)</f>
        <v>7</v>
      </c>
      <c r="D23" s="49">
        <v>7</v>
      </c>
    </row>
    <row r="24" spans="2:4">
      <c r="B24" s="3" t="str">
        <f>'Revegetation Data'!E105</f>
        <v>Area - Lime &amp; FertiliserHectaresHand</v>
      </c>
      <c r="C24" s="48">
        <f>IFERROR(D24/'Carbon Costs Calculator'!$AD$12,'Project Data'!D24)</f>
        <v>1.5435000000000001</v>
      </c>
      <c r="D24" s="48">
        <v>1.5435000000000001</v>
      </c>
    </row>
    <row r="25" spans="2:4">
      <c r="B25" s="3" t="str">
        <f>'Revegetation Data'!E106</f>
        <v>Area - Lime &amp; FertiliserHectaresHelicopter - Assisted</v>
      </c>
      <c r="C25" s="49">
        <f>IFERROR(D25/'Carbon Costs Calculator'!$AD$10,'Project Data'!D25)</f>
        <v>0.27800000000000002</v>
      </c>
      <c r="D25" s="49">
        <v>0.27800000000000002</v>
      </c>
    </row>
    <row r="26" spans="2:4">
      <c r="B26" s="3" t="str">
        <f>'Revegetation Data'!E107</f>
        <v>Area - Lime &amp; FertiliserHectaresMachine</v>
      </c>
      <c r="C26" s="48">
        <f>IFERROR(D26/'Carbon Costs Calculator'!$AD$9,'Project Data'!D26)</f>
        <v>0.30869999999999997</v>
      </c>
      <c r="D26" s="48">
        <v>0.30869999999999997</v>
      </c>
    </row>
    <row r="27" spans="2:4">
      <c r="B27" s="109" t="str">
        <f>'Revegetation Data'!E108</f>
        <v>Area - Living CarpetHectaresHand</v>
      </c>
      <c r="C27" s="108">
        <f>IFERROR(D27/'Carbon Costs Calculator'!$AD$12,'Project Data'!D27)</f>
        <v>30</v>
      </c>
      <c r="D27" s="49">
        <f>0.75*D21</f>
        <v>30</v>
      </c>
    </row>
    <row r="28" spans="2:4">
      <c r="B28" s="109" t="str">
        <f>'Revegetation Data'!E109</f>
        <v>Area - Living CarpetHectaresMachine</v>
      </c>
      <c r="C28" s="107">
        <f>IFERROR(D28/'Carbon Costs Calculator'!$AD$12,'Project Data'!D28)</f>
        <v>5.25</v>
      </c>
      <c r="D28" s="48">
        <f>0.75*D23</f>
        <v>5.25</v>
      </c>
    </row>
    <row r="29" spans="2:4">
      <c r="B29" s="3" t="str">
        <f>'Revegetation Data'!E110</f>
        <v>Area - Micro-Erosion RepairHectaresMachine</v>
      </c>
      <c r="C29" s="49">
        <f>IFERROR(D29/'Carbon Costs Calculator'!$AD$8,'Project Data'!D29)</f>
        <v>30.06</v>
      </c>
      <c r="D29" s="49">
        <v>30.06</v>
      </c>
    </row>
    <row r="30" spans="2:4">
      <c r="B30" s="3" t="str">
        <f>'Revegetation Data'!E111</f>
        <v>Area - ReinstatementHectaresMachine</v>
      </c>
      <c r="C30" s="48">
        <f>IFERROR(D30/'Carbon Costs Calculator'!$AD$8,'Project Data'!D30)</f>
        <v>30.06</v>
      </c>
      <c r="D30" s="48">
        <v>30.06</v>
      </c>
    </row>
    <row r="31" spans="2:4">
      <c r="B31" s="3" t="str">
        <f>'Revegetation Data'!E112</f>
        <v>Area - Sphagnum Transplant (Internal)HectaresHand</v>
      </c>
      <c r="C31" s="108">
        <f>IFERROR(D31/'Carbon Costs Calculator'!$AD$12,'Project Data'!D31)</f>
        <v>20</v>
      </c>
      <c r="D31" s="49">
        <v>20</v>
      </c>
    </row>
    <row r="32" spans="2:4">
      <c r="B32" s="3" t="str">
        <f>'Revegetation Data'!E113</f>
        <v>Area - Sphagnum Transplant (Internal)HectaresMachine</v>
      </c>
      <c r="C32" s="107">
        <f>IFERROR(D32/'Carbon Costs Calculator'!$AD$12,'Project Data'!D32)</f>
        <v>3.5</v>
      </c>
      <c r="D32" s="48">
        <v>3.5</v>
      </c>
    </row>
    <row r="33" spans="2:4">
      <c r="B33" s="3" t="str">
        <f>'Revegetation Data'!E114</f>
        <v>Area - Whole Turving (Imported)HectaresMachine</v>
      </c>
      <c r="C33" s="49">
        <f>IFERROR(D33/'Carbon Costs Calculator'!$AD$8,'Project Data'!D33)</f>
        <v>49.837499999999999</v>
      </c>
      <c r="D33" s="49">
        <v>49.837499999999999</v>
      </c>
    </row>
    <row r="34" spans="2:4">
      <c r="B34" s="3" t="str">
        <f>'Revegetation Data'!E115</f>
        <v>Area - Whole Turving (Local)HectaresMachine</v>
      </c>
      <c r="C34" s="48">
        <f>IFERROR(D34/'Carbon Costs Calculator'!$AD$8,'Project Data'!D34)</f>
        <v>22.037500000000001</v>
      </c>
      <c r="D34" s="48">
        <v>22.037500000000001</v>
      </c>
    </row>
    <row r="35" spans="2:4">
      <c r="B35" s="3" t="str">
        <f>'Bunding Data'!E171</f>
        <v>Coir Log&lt;1mHand</v>
      </c>
      <c r="C35" s="49">
        <f>IFERROR(D35/'Carbon Costs Calculator'!$AD$12,'Project Data'!D35)</f>
        <v>4.224E-2</v>
      </c>
      <c r="D35" s="49">
        <v>4.224E-2</v>
      </c>
    </row>
    <row r="36" spans="2:4">
      <c r="B36" s="3" t="str">
        <f>'Bunding Data'!E172</f>
        <v>Coir Log&lt;1mHelicopter - Assisted</v>
      </c>
      <c r="C36" s="48">
        <f>IFERROR(D36/'Carbon Costs Calculator'!$AD$10,'Project Data'!D36)</f>
        <v>8.4499999999999992E-3</v>
      </c>
      <c r="D36" s="48">
        <v>8.4499999999999992E-3</v>
      </c>
    </row>
    <row r="37" spans="2:4">
      <c r="B37" s="3" t="str">
        <f>'Bunding Data'!E173</f>
        <v>Coir Log&lt;1mMachine - Assisted</v>
      </c>
      <c r="C37" s="49">
        <f>IFERROR(D37/'Carbon Costs Calculator'!$AD$8,'Project Data'!D37)</f>
        <v>1.6899999999999998E-2</v>
      </c>
      <c r="D37" s="49">
        <v>1.6899999999999998E-2</v>
      </c>
    </row>
    <row r="38" spans="2:4">
      <c r="B38" s="3" t="str">
        <f>'Bunding Data'!E174</f>
        <v>Coir Log&gt;1m - &lt;2mHand</v>
      </c>
      <c r="C38" s="48">
        <f>IFERROR(D38/'Carbon Costs Calculator'!$AD$12,'Project Data'!D38)</f>
        <v>6.4000000000000001E-2</v>
      </c>
      <c r="D38" s="48">
        <v>6.4000000000000001E-2</v>
      </c>
    </row>
    <row r="39" spans="2:4">
      <c r="B39" s="3" t="str">
        <f>'Bunding Data'!E175</f>
        <v>Coir Log&gt;1m - &lt;2mHelicopter - Assisted</v>
      </c>
      <c r="C39" s="49">
        <f>IFERROR(D39/'Carbon Costs Calculator'!$AD$10,'Project Data'!D39)</f>
        <v>1.2800000000000001E-2</v>
      </c>
      <c r="D39" s="49">
        <v>1.2800000000000001E-2</v>
      </c>
    </row>
    <row r="40" spans="2:4">
      <c r="B40" s="3" t="str">
        <f>'Bunding Data'!E176</f>
        <v>Coir Log&gt;1m - &lt;2mMachine - Assisted</v>
      </c>
      <c r="C40" s="48">
        <f>IFERROR(D40/'Carbon Costs Calculator'!$AD$8,'Project Data'!D40)</f>
        <v>2.5600000000000001E-2</v>
      </c>
      <c r="D40" s="48">
        <v>2.5600000000000001E-2</v>
      </c>
    </row>
    <row r="41" spans="2:4">
      <c r="B41" s="3" t="str">
        <f>'Bunding Data'!E177</f>
        <v>Coir Log&gt;2m - &lt;3mHand</v>
      </c>
      <c r="C41" s="49">
        <f>IFERROR(D41/'Carbon Costs Calculator'!$AD$12,'Project Data'!D41)</f>
        <v>0.1075</v>
      </c>
      <c r="D41" s="49">
        <v>0.1075</v>
      </c>
    </row>
    <row r="42" spans="2:4">
      <c r="B42" s="3" t="str">
        <f>'Bunding Data'!E178</f>
        <v>Coir Log&gt;2m - &lt;3mHelicopter - Assisted</v>
      </c>
      <c r="C42" s="48">
        <f>IFERROR(D42/'Carbon Costs Calculator'!$AD$10,'Project Data'!D42)</f>
        <v>2.1499999999999998E-2</v>
      </c>
      <c r="D42" s="48">
        <v>2.1499999999999998E-2</v>
      </c>
    </row>
    <row r="43" spans="2:4">
      <c r="B43" s="3" t="str">
        <f>'Bunding Data'!E179</f>
        <v>Coir Log&gt;2m - &lt;3mMachine - Assisted</v>
      </c>
      <c r="C43" s="49">
        <f>IFERROR(D43/'Carbon Costs Calculator'!$AD$8,'Project Data'!D43)</f>
        <v>4.2999999999999997E-2</v>
      </c>
      <c r="D43" s="49">
        <v>4.2999999999999997E-2</v>
      </c>
    </row>
    <row r="44" spans="2:4">
      <c r="B44" s="3" t="str">
        <f>'Bunding Data'!E180</f>
        <v>Coir Log&gt;3m - &lt;4mHand</v>
      </c>
      <c r="C44" s="48">
        <f>IFERROR(D44/'Carbon Costs Calculator'!$AD$12,'Project Data'!D44)</f>
        <v>0.151</v>
      </c>
      <c r="D44" s="48">
        <v>0.151</v>
      </c>
    </row>
    <row r="45" spans="2:4">
      <c r="B45" s="3" t="str">
        <f>'Bunding Data'!E181</f>
        <v>Coir Log&gt;3m - &lt;4mHelicopter - Assisted</v>
      </c>
      <c r="C45" s="49">
        <f>IFERROR(D45/'Carbon Costs Calculator'!$AD$10,'Project Data'!D45)</f>
        <v>3.0200000000000001E-2</v>
      </c>
      <c r="D45" s="49">
        <v>3.0200000000000001E-2</v>
      </c>
    </row>
    <row r="46" spans="2:4">
      <c r="B46" s="3" t="str">
        <f>'Bunding Data'!E182</f>
        <v>Coir Log&gt;3m - &lt;4mMachine - Assisted</v>
      </c>
      <c r="C46" s="48">
        <f>IFERROR(D46/'Carbon Costs Calculator'!$AD$8,'Project Data'!D46)</f>
        <v>6.0400000000000002E-2</v>
      </c>
      <c r="D46" s="48">
        <v>6.0400000000000002E-2</v>
      </c>
    </row>
    <row r="47" spans="2:4">
      <c r="B47" s="3" t="str">
        <f>'Bunding Data'!E183</f>
        <v>Coir Log&gt;4mHand</v>
      </c>
      <c r="C47" s="49">
        <f>IFERROR(D47/'Carbon Costs Calculator'!$AD$12,'Project Data'!D47)</f>
        <v>0.17274999999999999</v>
      </c>
      <c r="D47" s="49">
        <v>0.17274999999999999</v>
      </c>
    </row>
    <row r="48" spans="2:4">
      <c r="B48" s="3" t="str">
        <f>'Bunding Data'!E184</f>
        <v>Coir Log&gt;4mHelicopter - Assisted</v>
      </c>
      <c r="C48" s="48">
        <f>IFERROR(D48/'Carbon Costs Calculator'!$AD$10,'Project Data'!D48)</f>
        <v>3.4549999999999997E-2</v>
      </c>
      <c r="D48" s="48">
        <v>3.4549999999999997E-2</v>
      </c>
    </row>
    <row r="49" spans="2:4">
      <c r="B49" s="3" t="str">
        <f>'Bunding Data'!E185</f>
        <v>Coir Log&gt;4mMachine - Assisted</v>
      </c>
      <c r="C49" s="49">
        <f>IFERROR(D49/'Carbon Costs Calculator'!$AD$8,'Project Data'!D49)</f>
        <v>6.9099999999999995E-2</v>
      </c>
      <c r="D49" s="49">
        <v>6.9099999999999995E-2</v>
      </c>
    </row>
    <row r="50" spans="2:4">
      <c r="B50" s="3" t="str">
        <f>'GullyGrip Blocking Data'!E145</f>
        <v>Composite Dam (Plastic)&lt;1mHand</v>
      </c>
      <c r="C50" s="48">
        <f>IFERROR(D50/'Carbon Costs Calculator'!$AD$12,'Project Data'!D50)</f>
        <v>0.18456</v>
      </c>
      <c r="D50" s="48">
        <v>0.18456</v>
      </c>
    </row>
    <row r="51" spans="2:4">
      <c r="B51" s="3" t="str">
        <f>'GullyGrip Blocking Data'!E146</f>
        <v>Composite Dam (Plastic)&lt;1mHelicopter - Assisted</v>
      </c>
      <c r="C51" s="49">
        <f>IFERROR(D51/'Carbon Costs Calculator'!$AD$10,'Project Data'!D51)</f>
        <v>1.6449999999999999E-2</v>
      </c>
      <c r="D51" s="49">
        <v>1.6449999999999999E-2</v>
      </c>
    </row>
    <row r="52" spans="2:4">
      <c r="B52" s="3" t="str">
        <f>'GullyGrip Blocking Data'!E147</f>
        <v>Composite Dam (Plastic)&lt;1mMachine</v>
      </c>
      <c r="C52" s="48">
        <f>IFERROR(D52/'Carbon Costs Calculator'!$AD$8,'Project Data'!D52)</f>
        <v>3.6909999999999998E-2</v>
      </c>
      <c r="D52" s="48">
        <v>3.6909999999999998E-2</v>
      </c>
    </row>
    <row r="53" spans="2:4">
      <c r="B53" s="3" t="str">
        <f>'GullyGrip Blocking Data'!E148</f>
        <v>Composite Dam (Plastic)&gt;1m - &lt;2mHand</v>
      </c>
      <c r="C53" s="49">
        <f>IFERROR(D53/'Carbon Costs Calculator'!$AD$12,'Project Data'!D53)</f>
        <v>0.27317000000000002</v>
      </c>
      <c r="D53" s="49">
        <v>0.27317000000000002</v>
      </c>
    </row>
    <row r="54" spans="2:4">
      <c r="B54" s="3" t="str">
        <f>'GullyGrip Blocking Data'!E149</f>
        <v>Composite Dam (Plastic)&gt;1m - &lt;2mHelicopter - Assisted</v>
      </c>
      <c r="C54" s="48">
        <f>IFERROR(D54/'Carbon Costs Calculator'!$AD$10,'Project Data'!D54)</f>
        <v>2.4410000000000001E-2</v>
      </c>
      <c r="D54" s="48">
        <v>2.4410000000000001E-2</v>
      </c>
    </row>
    <row r="55" spans="2:4">
      <c r="B55" s="3" t="str">
        <f>'GullyGrip Blocking Data'!E150</f>
        <v>Composite Dam (Plastic)&gt;1m - &lt;2mMachine</v>
      </c>
      <c r="C55" s="49">
        <f>IFERROR(D55/'Carbon Costs Calculator'!$AD$8,'Project Data'!D55)</f>
        <v>5.4629999999999998E-2</v>
      </c>
      <c r="D55" s="49">
        <v>5.4629999999999998E-2</v>
      </c>
    </row>
    <row r="56" spans="2:4">
      <c r="B56" s="3" t="str">
        <f>'GullyGrip Blocking Data'!E151</f>
        <v>Composite Dam (Plastic)&gt;2m - &lt;3mHand</v>
      </c>
      <c r="C56" s="48">
        <f>IFERROR(D56/'Carbon Costs Calculator'!$AD$12,'Project Data'!D56)</f>
        <v>0.44691999999999998</v>
      </c>
      <c r="D56" s="48">
        <v>0.44691999999999998</v>
      </c>
    </row>
    <row r="57" spans="2:4">
      <c r="B57" s="3" t="str">
        <f>'GullyGrip Blocking Data'!E152</f>
        <v>Composite Dam (Plastic)&gt;2m - &lt;3mHelicopter - Assisted</v>
      </c>
      <c r="C57" s="49">
        <f>IFERROR(D57/'Carbon Costs Calculator'!$AD$10,'Project Data'!D57)</f>
        <v>0.04</v>
      </c>
      <c r="D57" s="49">
        <v>0.04</v>
      </c>
    </row>
    <row r="58" spans="2:4">
      <c r="B58" s="3" t="str">
        <f>'GullyGrip Blocking Data'!E153</f>
        <v>Composite Dam (Plastic)&gt;2m - &lt;3mMachine</v>
      </c>
      <c r="C58" s="48">
        <f>IFERROR(D58/'Carbon Costs Calculator'!$AD$8,'Project Data'!D58)</f>
        <v>8.9380000000000001E-2</v>
      </c>
      <c r="D58" s="48">
        <v>8.9380000000000001E-2</v>
      </c>
    </row>
    <row r="59" spans="2:4">
      <c r="B59" s="3" t="str">
        <f>'GullyGrip Blocking Data'!E154</f>
        <v>Composite Dam (Plastic)&gt;3m - &lt;4mHand</v>
      </c>
      <c r="C59" s="49">
        <f>IFERROR(D59/'Carbon Costs Calculator'!$AD$12,'Project Data'!D59)</f>
        <v>0.62067000000000005</v>
      </c>
      <c r="D59" s="49">
        <v>0.62067000000000005</v>
      </c>
    </row>
    <row r="60" spans="2:4">
      <c r="B60" s="3" t="str">
        <f>'GullyGrip Blocking Data'!E155</f>
        <v>Composite Dam (Plastic)&gt;3m - &lt;4mHelicopter - Assisted</v>
      </c>
      <c r="C60" s="48">
        <f>IFERROR(D60/'Carbon Costs Calculator'!$AD$10,'Project Data'!D60)</f>
        <v>5.5620000000000003E-2</v>
      </c>
      <c r="D60" s="48">
        <v>5.5620000000000003E-2</v>
      </c>
    </row>
    <row r="61" spans="2:4">
      <c r="B61" s="3" t="str">
        <f>'GullyGrip Blocking Data'!E156</f>
        <v>Composite Dam (Plastic)&gt;3m - &lt;4mMachine</v>
      </c>
      <c r="C61" s="49">
        <f>IFERROR(D61/'Carbon Costs Calculator'!$AD$8,'Project Data'!D61)</f>
        <v>0.12413</v>
      </c>
      <c r="D61" s="49">
        <v>0.12413</v>
      </c>
    </row>
    <row r="62" spans="2:4">
      <c r="B62" s="3" t="str">
        <f>'GullyGrip Blocking Data'!E157</f>
        <v>Composite Dam (Plastic)&gt;4mHand</v>
      </c>
      <c r="C62" s="48">
        <f>IFERROR(D62/'Carbon Costs Calculator'!$AD$12,'Project Data'!D62)</f>
        <v>0.70753999999999995</v>
      </c>
      <c r="D62" s="48">
        <v>0.70753999999999995</v>
      </c>
    </row>
    <row r="63" spans="2:4">
      <c r="B63" s="3" t="str">
        <f>'GullyGrip Blocking Data'!E158</f>
        <v>Composite Dam (Plastic)&gt;4mHelicopter - Assisted</v>
      </c>
      <c r="C63" s="49">
        <f>IFERROR(D63/'Carbon Costs Calculator'!$AD$10,'Project Data'!D63)</f>
        <v>6.3409999999999994E-2</v>
      </c>
      <c r="D63" s="49">
        <v>6.3409999999999994E-2</v>
      </c>
    </row>
    <row r="64" spans="2:4">
      <c r="B64" s="3" t="str">
        <f>'GullyGrip Blocking Data'!E159</f>
        <v>Composite Dam (Plastic)&gt;4mMachine</v>
      </c>
      <c r="C64" s="48">
        <f>IFERROR(D64/'Carbon Costs Calculator'!$AD$8,'Project Data'!D64)</f>
        <v>0.14151</v>
      </c>
      <c r="D64" s="48">
        <v>0.14151</v>
      </c>
    </row>
    <row r="65" spans="2:4">
      <c r="B65" s="3" t="str">
        <f>'GullyGrip Blocking Data'!E160</f>
        <v>Composite Dam (Timber)&lt;1m (2 planks)Hand</v>
      </c>
      <c r="C65" s="49">
        <f>IFERROR(D65/'Carbon Costs Calculator'!$AD$12,'Project Data'!D65)</f>
        <v>0.33845999999999998</v>
      </c>
      <c r="D65" s="49">
        <v>0.33845999999999998</v>
      </c>
    </row>
    <row r="66" spans="2:4">
      <c r="B66" s="3" t="str">
        <f>'GullyGrip Blocking Data'!E161</f>
        <v>Composite Dam (Timber)&lt;1m (2 planks)Helicopter - Assisted</v>
      </c>
      <c r="C66" s="48">
        <f>IFERROR(D66/'Carbon Costs Calculator'!$AD$10,'Project Data'!D66)</f>
        <v>3.9879999999999999E-2</v>
      </c>
      <c r="D66" s="48">
        <v>3.9879999999999999E-2</v>
      </c>
    </row>
    <row r="67" spans="2:4">
      <c r="B67" s="3" t="str">
        <f>'GullyGrip Blocking Data'!E162</f>
        <v>Composite Dam (Timber)&lt;1m (2 planks)Machine</v>
      </c>
      <c r="C67" s="49">
        <f>IFERROR(D67/'Carbon Costs Calculator'!$AD$8,'Project Data'!D67)</f>
        <v>6.769E-2</v>
      </c>
      <c r="D67" s="49">
        <v>6.769E-2</v>
      </c>
    </row>
    <row r="68" spans="2:4">
      <c r="B68" s="3" t="str">
        <f>'GullyGrip Blocking Data'!E163</f>
        <v>Composite Dam (Timber)&gt;1m - &lt;2m (3 planks)Hand</v>
      </c>
      <c r="C68" s="48">
        <f>IFERROR(D68/'Carbon Costs Calculator'!$AD$12,'Project Data'!D68)</f>
        <v>0.43611</v>
      </c>
      <c r="D68" s="48">
        <v>0.43611</v>
      </c>
    </row>
    <row r="69" spans="2:4">
      <c r="B69" s="3" t="str">
        <f>'GullyGrip Blocking Data'!E164</f>
        <v>Composite Dam (Timber)&gt;1m - &lt;2m (3 planks)Helicopter - Assisted</v>
      </c>
      <c r="C69" s="49">
        <f>IFERROR(D69/'Carbon Costs Calculator'!$AD$10,'Project Data'!D69)</f>
        <v>5.0889999999999998E-2</v>
      </c>
      <c r="D69" s="49">
        <v>5.0889999999999998E-2</v>
      </c>
    </row>
    <row r="70" spans="2:4">
      <c r="B70" s="3" t="str">
        <f>'GullyGrip Blocking Data'!E165</f>
        <v>Composite Dam (Timber)&gt;1m - &lt;2m (3 planks)Machine</v>
      </c>
      <c r="C70" s="48">
        <f>IFERROR(D70/'Carbon Costs Calculator'!$AD$8,'Project Data'!D70)</f>
        <v>8.7220000000000006E-2</v>
      </c>
      <c r="D70" s="48">
        <v>8.7220000000000006E-2</v>
      </c>
    </row>
    <row r="71" spans="2:4">
      <c r="B71" s="3" t="str">
        <f>'GullyGrip Blocking Data'!E166</f>
        <v>Composite Dam (Timber)&gt;2m - &lt;3m (4 planks)Hand</v>
      </c>
      <c r="C71" s="49">
        <f>IFERROR(D71/'Carbon Costs Calculator'!$AD$12,'Project Data'!D71)</f>
        <v>0.53376999999999997</v>
      </c>
      <c r="D71" s="49">
        <v>0.53376999999999997</v>
      </c>
    </row>
    <row r="72" spans="2:4">
      <c r="B72" s="3" t="str">
        <f>'GullyGrip Blocking Data'!E167</f>
        <v>Composite Dam (Timber)&gt;2m - &lt;3m (4 planks)Helicopter - Assisted</v>
      </c>
      <c r="C72" s="48">
        <f>IFERROR(D72/'Carbon Costs Calculator'!$AD$10,'Project Data'!D72)</f>
        <v>6.1899999999999997E-2</v>
      </c>
      <c r="D72" s="48">
        <v>6.1899999999999997E-2</v>
      </c>
    </row>
    <row r="73" spans="2:4">
      <c r="B73" s="3" t="str">
        <f>'GullyGrip Blocking Data'!E168</f>
        <v>Composite Dam (Timber)&gt;2m - &lt;3m (4 planks)Machine</v>
      </c>
      <c r="C73" s="49">
        <f>IFERROR(D73/'Carbon Costs Calculator'!$AD$8,'Project Data'!D73)</f>
        <v>0.10675</v>
      </c>
      <c r="D73" s="49">
        <v>0.10675</v>
      </c>
    </row>
    <row r="74" spans="2:4">
      <c r="B74" s="3" t="str">
        <f>'Bunding Data'!E186</f>
        <v>Heather Bale Bund&lt;1mHand</v>
      </c>
      <c r="C74" s="48">
        <f>IFERROR(D74/'Carbon Costs Calculator'!$AD$12,'Project Data'!D74)</f>
        <v>8.0879999999999994E-2</v>
      </c>
      <c r="D74" s="48">
        <v>8.0879999999999994E-2</v>
      </c>
    </row>
    <row r="75" spans="2:4">
      <c r="B75" s="3" t="str">
        <f>'Bunding Data'!E187</f>
        <v>Heather Bale Bund&lt;1mHelicopter - Assisted</v>
      </c>
      <c r="C75" s="49">
        <f>IFERROR(D75/'Carbon Costs Calculator'!$AD$10,'Project Data'!D75)</f>
        <v>9.4500000000000001E-3</v>
      </c>
      <c r="D75" s="49">
        <v>9.4500000000000001E-3</v>
      </c>
    </row>
    <row r="76" spans="2:4">
      <c r="B76" s="3" t="str">
        <f>'Bunding Data'!E188</f>
        <v>Heather Bale Bund&lt;1mMachine</v>
      </c>
      <c r="C76" s="48">
        <f>IFERROR(D76/'Carbon Costs Calculator'!$AD$8,'Project Data'!D76)</f>
        <v>4.0439999999999997E-2</v>
      </c>
      <c r="D76" s="48">
        <v>4.0439999999999997E-2</v>
      </c>
    </row>
    <row r="77" spans="2:4">
      <c r="B77" s="3" t="str">
        <f>'Bunding Data'!E189</f>
        <v>Heather Bale Bund&gt;1m - &lt;2mHand</v>
      </c>
      <c r="C77" s="49">
        <f>IFERROR(D77/'Carbon Costs Calculator'!$AD$12,'Project Data'!D77)</f>
        <v>0.12254</v>
      </c>
      <c r="D77" s="49">
        <v>0.12254</v>
      </c>
    </row>
    <row r="78" spans="2:4">
      <c r="B78" s="3" t="str">
        <f>'Bunding Data'!E190</f>
        <v>Heather Bale Bund&gt;1m - &lt;2mHelicopter - Assisted</v>
      </c>
      <c r="C78" s="48">
        <f>IFERROR(D78/'Carbon Costs Calculator'!$AD$10,'Project Data'!D78)</f>
        <v>1.4319999999999999E-2</v>
      </c>
      <c r="D78" s="48">
        <v>1.4319999999999999E-2</v>
      </c>
    </row>
    <row r="79" spans="2:4">
      <c r="B79" s="3" t="str">
        <f>'Bunding Data'!E191</f>
        <v>Heather Bale Bund&gt;1m - &lt;2mMachine</v>
      </c>
      <c r="C79" s="49">
        <f>IFERROR(D79/'Carbon Costs Calculator'!$AD$8,'Project Data'!D79)</f>
        <v>6.1269999999999998E-2</v>
      </c>
      <c r="D79" s="49">
        <v>6.1269999999999998E-2</v>
      </c>
    </row>
    <row r="80" spans="2:4">
      <c r="B80" s="3" t="str">
        <f>'Bunding Data'!E192</f>
        <v>Heather Bale Bund&gt;2m - &lt;3mHand</v>
      </c>
      <c r="C80" s="48">
        <f>IFERROR(D80/'Carbon Costs Calculator'!$AD$12,'Project Data'!D80)</f>
        <v>0.15306</v>
      </c>
      <c r="D80" s="48">
        <v>0.15306</v>
      </c>
    </row>
    <row r="81" spans="2:4">
      <c r="B81" s="3" t="str">
        <f>'Bunding Data'!E193</f>
        <v>Heather Bale Bund&gt;2m - &lt;3mHelicopter - Assisted</v>
      </c>
      <c r="C81" s="49">
        <f>IFERROR(D81/'Carbon Costs Calculator'!$AD$10,'Project Data'!D81)</f>
        <v>1.7049999999999999E-2</v>
      </c>
      <c r="D81" s="49">
        <v>1.7049999999999999E-2</v>
      </c>
    </row>
    <row r="82" spans="2:4">
      <c r="B82" s="3" t="str">
        <f>'Bunding Data'!E194</f>
        <v>Heather Bale Bund&gt;2m - &lt;3mMachine</v>
      </c>
      <c r="C82" s="48">
        <f>IFERROR(D82/'Carbon Costs Calculator'!$AD$8,'Project Data'!D82)</f>
        <v>7.6530000000000001E-2</v>
      </c>
      <c r="D82" s="48">
        <v>7.6530000000000001E-2</v>
      </c>
    </row>
    <row r="83" spans="2:4">
      <c r="B83" s="3" t="str">
        <f>'Bunding Data'!E195</f>
        <v>Heather Bale Bund&gt;3m - &lt;4mHand</v>
      </c>
      <c r="C83" s="49">
        <f>IFERROR(D83/'Carbon Costs Calculator'!$AD$12,'Project Data'!D83)</f>
        <v>0.21410000000000001</v>
      </c>
      <c r="D83" s="49">
        <v>0.21410000000000001</v>
      </c>
    </row>
    <row r="84" spans="2:4">
      <c r="B84" s="3" t="str">
        <f>'Bunding Data'!E196</f>
        <v>Heather Bale Bund&gt;3m - &lt;4mHelicopter - Assisted</v>
      </c>
      <c r="C84" s="48">
        <f>IFERROR(D84/'Carbon Costs Calculator'!$AD$10,'Project Data'!D84)</f>
        <v>2.273E-2</v>
      </c>
      <c r="D84" s="48">
        <v>2.273E-2</v>
      </c>
    </row>
    <row r="85" spans="2:4">
      <c r="B85" s="3" t="str">
        <f>'Bunding Data'!E197</f>
        <v>Heather Bale Bund&gt;3m - &lt;4mMachine</v>
      </c>
      <c r="C85" s="49">
        <f>IFERROR(D85/'Carbon Costs Calculator'!$AD$8,'Project Data'!D85)</f>
        <v>0.10705000000000001</v>
      </c>
      <c r="D85" s="49">
        <v>0.10705000000000001</v>
      </c>
    </row>
    <row r="86" spans="2:4">
      <c r="B86" s="3" t="str">
        <f>'Bunding Data'!E198</f>
        <v>Heather Bale Bund&gt;4mHand</v>
      </c>
      <c r="C86" s="48">
        <f>IFERROR(D86/'Carbon Costs Calculator'!$AD$12,'Project Data'!D86)</f>
        <v>0.27514</v>
      </c>
      <c r="D86" s="48">
        <v>0.27514</v>
      </c>
    </row>
    <row r="87" spans="2:4">
      <c r="B87" s="3" t="str">
        <f>'Bunding Data'!E199</f>
        <v>Heather Bale Bund&gt;4mHelicopter - Assisted</v>
      </c>
      <c r="C87" s="49">
        <f>IFERROR(D87/'Carbon Costs Calculator'!$AD$10,'Project Data'!D87)</f>
        <v>3.5799999999999998E-2</v>
      </c>
      <c r="D87" s="49">
        <v>3.5799999999999998E-2</v>
      </c>
    </row>
    <row r="88" spans="2:4">
      <c r="B88" s="3" t="str">
        <f>'Bunding Data'!E200</f>
        <v>Heather Bale Bund&gt;4mMachine</v>
      </c>
      <c r="C88" s="48">
        <f>IFERROR(D88/'Carbon Costs Calculator'!$AD$8,'Project Data'!D88)</f>
        <v>0.13757</v>
      </c>
      <c r="D88" s="48">
        <v>0.13757</v>
      </c>
    </row>
    <row r="89" spans="2:4">
      <c r="B89" s="3" t="str">
        <f>'GullyGrip Blocking Data'!E169</f>
        <v>Heather Bale Dam&lt;1mHand</v>
      </c>
      <c r="C89" s="49">
        <f>IFERROR(D89/'Carbon Costs Calculator'!$AD$12,'Project Data'!D89)</f>
        <v>0.12254</v>
      </c>
      <c r="D89" s="49">
        <v>0.12254</v>
      </c>
    </row>
    <row r="90" spans="2:4">
      <c r="B90" s="3" t="str">
        <f>'GullyGrip Blocking Data'!E170</f>
        <v>Heather Bale Dam&lt;1mHelicopter - Assisted</v>
      </c>
      <c r="C90" s="48">
        <f>IFERROR(D90/'Carbon Costs Calculator'!$AD$10,'Project Data'!D90)</f>
        <v>1.4319999999999999E-2</v>
      </c>
      <c r="D90" s="48">
        <v>1.4319999999999999E-2</v>
      </c>
    </row>
    <row r="91" spans="2:4">
      <c r="B91" s="3" t="str">
        <f>'GullyGrip Blocking Data'!E171</f>
        <v>Heather Bale Dam&lt;1mMachine</v>
      </c>
      <c r="C91" s="49">
        <f>IFERROR(D91/'Carbon Costs Calculator'!$AD$8,'Project Data'!D91)</f>
        <v>6.1269999999999998E-2</v>
      </c>
      <c r="D91" s="49">
        <v>6.1269999999999998E-2</v>
      </c>
    </row>
    <row r="92" spans="2:4">
      <c r="B92" s="3" t="str">
        <f>'GullyGrip Blocking Data'!E172</f>
        <v>Heather Bale Dam&gt;1m - &lt;2mHand</v>
      </c>
      <c r="C92" s="48">
        <f>IFERROR(D92/'Carbon Costs Calculator'!$AD$12,'Project Data'!D92)</f>
        <v>0.15306</v>
      </c>
      <c r="D92" s="48">
        <v>0.15306</v>
      </c>
    </row>
    <row r="93" spans="2:4">
      <c r="B93" s="3" t="str">
        <f>'GullyGrip Blocking Data'!E173</f>
        <v>Heather Bale Dam&gt;1m - &lt;2mHelicopter - Assisted</v>
      </c>
      <c r="C93" s="49">
        <f>IFERROR(D93/'Carbon Costs Calculator'!$AD$10,'Project Data'!D93)</f>
        <v>1.7049999999999999E-2</v>
      </c>
      <c r="D93" s="49">
        <v>1.7049999999999999E-2</v>
      </c>
    </row>
    <row r="94" spans="2:4">
      <c r="B94" s="3" t="str">
        <f>'GullyGrip Blocking Data'!E174</f>
        <v>Heather Bale Dam&gt;1m - &lt;2mMachine</v>
      </c>
      <c r="C94" s="48">
        <f>IFERROR(D94/'Carbon Costs Calculator'!$AD$8,'Project Data'!D94)</f>
        <v>7.6530000000000001E-2</v>
      </c>
      <c r="D94" s="48">
        <v>7.6530000000000001E-2</v>
      </c>
    </row>
    <row r="95" spans="2:4">
      <c r="B95" s="3" t="str">
        <f>'GullyGrip Blocking Data'!E175</f>
        <v>Heather Bale Dam&gt;2m - &lt;3mHand</v>
      </c>
      <c r="C95" s="49">
        <f>IFERROR(D95/'Carbon Costs Calculator'!$AD$12,'Project Data'!D95)</f>
        <v>0.21410000000000001</v>
      </c>
      <c r="D95" s="49">
        <v>0.21410000000000001</v>
      </c>
    </row>
    <row r="96" spans="2:4">
      <c r="B96" s="3" t="str">
        <f>'GullyGrip Blocking Data'!E176</f>
        <v>Heather Bale Dam&gt;2m - &lt;3mHelicopter - Assisted</v>
      </c>
      <c r="C96" s="48">
        <f>IFERROR(D96/'Carbon Costs Calculator'!$AD$10,'Project Data'!D96)</f>
        <v>2.273E-2</v>
      </c>
      <c r="D96" s="48">
        <v>2.273E-2</v>
      </c>
    </row>
    <row r="97" spans="2:4">
      <c r="B97" s="3" t="str">
        <f>'GullyGrip Blocking Data'!E177</f>
        <v>Heather Bale Dam&gt;2m - &lt;3mMachine</v>
      </c>
      <c r="C97" s="49">
        <f>IFERROR(D97/'Carbon Costs Calculator'!$AD$8,'Project Data'!D97)</f>
        <v>0.10705000000000001</v>
      </c>
      <c r="D97" s="49">
        <v>0.10705000000000001</v>
      </c>
    </row>
    <row r="98" spans="2:4">
      <c r="B98" s="3" t="str">
        <f>'GullyGrip Blocking Data'!E178</f>
        <v>Heather Bale Dam&gt;3m - &lt;4mHand</v>
      </c>
      <c r="C98" s="48">
        <f>IFERROR(D98/'Carbon Costs Calculator'!$AD$12,'Project Data'!D98)</f>
        <v>0.27514</v>
      </c>
      <c r="D98" s="48">
        <v>0.27514</v>
      </c>
    </row>
    <row r="99" spans="2:4">
      <c r="B99" s="3" t="str">
        <f>'GullyGrip Blocking Data'!E179</f>
        <v>Heather Bale Dam&gt;3m - &lt;4mHelicopter - Assisted</v>
      </c>
      <c r="C99" s="49">
        <f>IFERROR(D99/'Carbon Costs Calculator'!$AD$10,'Project Data'!D99)</f>
        <v>3.5799999999999998E-2</v>
      </c>
      <c r="D99" s="49">
        <v>3.5799999999999998E-2</v>
      </c>
    </row>
    <row r="100" spans="2:4">
      <c r="B100" s="3" t="str">
        <f>'GullyGrip Blocking Data'!E180</f>
        <v>Heather Bale Dam&gt;3m - &lt;4mMachine</v>
      </c>
      <c r="C100" s="49">
        <f>IFERROR(D100/'Carbon Costs Calculator'!$AD$8,'Project Data'!D100)</f>
        <v>0.13757</v>
      </c>
      <c r="D100" s="48">
        <v>0.13757</v>
      </c>
    </row>
    <row r="101" spans="2:4">
      <c r="B101" s="3" t="str">
        <f>'GullyGrip Blocking Data'!E181</f>
        <v>Heather Bale Dam&gt;4mHand</v>
      </c>
      <c r="C101" s="49">
        <f>IFERROR(D101/'Carbon Costs Calculator'!$AD$12,'Project Data'!D101)</f>
        <v>0.30565999999999999</v>
      </c>
      <c r="D101" s="49">
        <v>0.30565999999999999</v>
      </c>
    </row>
    <row r="102" spans="2:4">
      <c r="B102" s="3" t="str">
        <f>'GullyGrip Blocking Data'!E182</f>
        <v>Heather Bale Dam&gt;4mHelicopter - Assisted</v>
      </c>
      <c r="C102" s="48">
        <f>IFERROR(D102/'Carbon Costs Calculator'!$AD$10,'Project Data'!D102)</f>
        <v>4.2959999999999998E-2</v>
      </c>
      <c r="D102" s="48">
        <v>4.2959999999999998E-2</v>
      </c>
    </row>
    <row r="103" spans="2:4">
      <c r="B103" s="3" t="str">
        <f>'GullyGrip Blocking Data'!E183</f>
        <v>Heather Bale Dam&gt;4mMachine</v>
      </c>
      <c r="C103" s="49">
        <f>IFERROR(D103/'Carbon Costs Calculator'!$AD$8,'Project Data'!D103)</f>
        <v>0.15282999999999999</v>
      </c>
      <c r="D103" s="49">
        <v>0.15282999999999999</v>
      </c>
    </row>
    <row r="104" spans="2:4">
      <c r="B104" s="3" t="str">
        <f>'Revegetation Data'!E116</f>
        <v>Linear - Hag/Gully/Bank Reprofiling (Double)MetersMachine</v>
      </c>
      <c r="C104" s="48">
        <f>IFERROR(D104/'Carbon Costs Calculator'!$AD$8,'Project Data'!D104)</f>
        <v>3.9699999999999996E-3</v>
      </c>
      <c r="D104" s="48">
        <v>3.9699999999999996E-3</v>
      </c>
    </row>
    <row r="105" spans="2:4">
      <c r="B105" s="3" t="str">
        <f>'Revegetation Data'!E117</f>
        <v>Linear - Hag/Gully/Bank Reprofiling (Single)MetersMachine</v>
      </c>
      <c r="C105" s="49">
        <f>IFERROR(D105/'Carbon Costs Calculator'!$AD$8,'Project Data'!D105)</f>
        <v>1.98E-3</v>
      </c>
      <c r="D105" s="49">
        <v>1.98E-3</v>
      </c>
    </row>
    <row r="106" spans="2:4">
      <c r="B106" s="3" t="str">
        <f>'Revegetation Data'!E118</f>
        <v>Linear - Hag/Gully/Bank Reprofiling + Imported TurvesMetersMachine</v>
      </c>
      <c r="C106" s="48">
        <f>IFERROR(D106/'Carbon Costs Calculator'!$AD$8,'Project Data'!D106)</f>
        <v>4.9800000000000001E-3</v>
      </c>
      <c r="D106" s="48">
        <v>4.9800000000000001E-3</v>
      </c>
    </row>
    <row r="107" spans="2:4">
      <c r="B107" s="3" t="str">
        <f>'Revegetation Data'!E119</f>
        <v>Linear - Hag/Gully/Bank Reprofiling + Local TurvesMetersMachine</v>
      </c>
      <c r="C107" s="49">
        <f>IFERROR(D107/'Carbon Costs Calculator'!$AD$8,'Project Data'!D107)</f>
        <v>2.2000000000000001E-3</v>
      </c>
      <c r="D107" s="49">
        <v>2.2000000000000001E-3</v>
      </c>
    </row>
    <row r="108" spans="2:4">
      <c r="B108" s="3" t="str">
        <f>'Revegetation Data'!E120</f>
        <v>Linear - Micro-Erosion RepairMetersMachine</v>
      </c>
      <c r="C108" s="48">
        <f>IFERROR(D108/'Carbon Costs Calculator'!$AD$8,'Project Data'!D108)</f>
        <v>2.4049999999999998E-2</v>
      </c>
      <c r="D108" s="48">
        <v>2.4049999999999998E-2</v>
      </c>
    </row>
    <row r="109" spans="2:4">
      <c r="B109" s="3" t="str">
        <f>'Revegetation Data'!E121</f>
        <v>Linear - ReinstatementMetersMachine</v>
      </c>
      <c r="C109" s="49">
        <f>IFERROR(D109/'Carbon Costs Calculator'!$AD$8,'Project Data'!D109)</f>
        <v>2.4049999999999998E-2</v>
      </c>
      <c r="D109" s="49">
        <v>2.4049999999999998E-2</v>
      </c>
    </row>
    <row r="110" spans="2:4">
      <c r="B110" s="3" t="str">
        <f>'GullyGrip Blocking Data'!E184</f>
        <v>Mineral Dam&lt;1mHand</v>
      </c>
      <c r="C110" s="48">
        <f>IFERROR(D110/'Carbon Costs Calculator'!$AD$12,'Project Data'!D110)</f>
        <v>0.12375</v>
      </c>
      <c r="D110" s="48">
        <v>0.12375</v>
      </c>
    </row>
    <row r="111" spans="2:4">
      <c r="B111" s="3" t="str">
        <f>'GullyGrip Blocking Data'!E185</f>
        <v>Mineral Dam&lt;1mMachine</v>
      </c>
      <c r="C111" s="49">
        <f>IFERROR(D111/'Carbon Costs Calculator'!$AD$8,'Project Data'!D111)</f>
        <v>4.3839999999999997E-2</v>
      </c>
      <c r="D111" s="49">
        <v>4.3839999999999997E-2</v>
      </c>
    </row>
    <row r="112" spans="2:4">
      <c r="B112" s="3" t="str">
        <f>'GullyGrip Blocking Data'!E186</f>
        <v>Mineral Dam&gt;1m - &lt;2mHand</v>
      </c>
      <c r="C112" s="48">
        <f>IFERROR(D112/'Carbon Costs Calculator'!$AD$12,'Project Data'!D112)</f>
        <v>0.1875</v>
      </c>
      <c r="D112" s="48">
        <v>0.1875</v>
      </c>
    </row>
    <row r="113" spans="2:4">
      <c r="B113" s="3" t="str">
        <f>'GullyGrip Blocking Data'!E187</f>
        <v>Mineral Dam&gt;1m - &lt;2mMachine</v>
      </c>
      <c r="C113" s="49">
        <f>IFERROR(D113/'Carbon Costs Calculator'!$AD$8,'Project Data'!D113)</f>
        <v>6.5089999999999995E-2</v>
      </c>
      <c r="D113" s="49">
        <v>6.5089999999999995E-2</v>
      </c>
    </row>
    <row r="114" spans="2:4">
      <c r="B114" s="3" t="str">
        <f>'GullyGrip Blocking Data'!E188</f>
        <v>Mineral Dam&gt;2m - &lt;3mHand</v>
      </c>
      <c r="C114" s="48">
        <f>IFERROR(D114/'Carbon Costs Calculator'!$AD$12,'Project Data'!D114)</f>
        <v>0.315</v>
      </c>
      <c r="D114" s="48">
        <v>0.315</v>
      </c>
    </row>
    <row r="115" spans="2:4">
      <c r="B115" s="3" t="str">
        <f>'GullyGrip Blocking Data'!E189</f>
        <v>Mineral Dam&gt;2m - &lt;3mMachine</v>
      </c>
      <c r="C115" s="49">
        <f>IFERROR(D115/'Carbon Costs Calculator'!$AD$8,'Project Data'!D115)</f>
        <v>0.10759000000000001</v>
      </c>
      <c r="D115" s="49">
        <v>0.10759000000000001</v>
      </c>
    </row>
    <row r="116" spans="2:4">
      <c r="B116" s="3" t="str">
        <f>'GullyGrip Blocking Data'!E190</f>
        <v>Mineral Dam&gt;3m - &lt;4mHand</v>
      </c>
      <c r="C116" s="48">
        <f>IFERROR(D116/'Carbon Costs Calculator'!$AD$12,'Project Data'!D116)</f>
        <v>0.4425</v>
      </c>
      <c r="D116" s="48">
        <v>0.4425</v>
      </c>
    </row>
    <row r="117" spans="2:4">
      <c r="B117" s="3" t="str">
        <f>'GullyGrip Blocking Data'!E191</f>
        <v>Mineral Dam&gt;3m - &lt;4mMachine</v>
      </c>
      <c r="C117" s="49">
        <f>IFERROR(D117/'Carbon Costs Calculator'!$AD$8,'Project Data'!D117)</f>
        <v>0.15009</v>
      </c>
      <c r="D117" s="49">
        <v>0.15009</v>
      </c>
    </row>
    <row r="118" spans="2:4">
      <c r="B118" s="3" t="str">
        <f>'GullyGrip Blocking Data'!E192</f>
        <v>Mineral Dam&gt;4mHand</v>
      </c>
      <c r="C118" s="48">
        <f>IFERROR(D118/'Carbon Costs Calculator'!$AD$12,'Project Data'!D118)</f>
        <v>0.50624999999999998</v>
      </c>
      <c r="D118" s="48">
        <v>0.50624999999999998</v>
      </c>
    </row>
    <row r="119" spans="2:4">
      <c r="B119" s="3" t="str">
        <f>'GullyGrip Blocking Data'!E193</f>
        <v>Mineral Dam&gt;4mMachine</v>
      </c>
      <c r="C119" s="49">
        <f>IFERROR(D119/'Carbon Costs Calculator'!$AD$8,'Project Data'!D119)</f>
        <v>0.17133999999999999</v>
      </c>
      <c r="D119" s="49">
        <v>0.17133999999999999</v>
      </c>
    </row>
    <row r="120" spans="2:4">
      <c r="B120" s="109" t="str">
        <f>'Bunding Data'!E201</f>
        <v>Peat Arc Bund&lt;1mHand</v>
      </c>
      <c r="C120" s="108">
        <f>IFERROR(D120/'Carbon Costs Calculator'!$AD$12,'Project Data'!D120)</f>
        <v>0.12024</v>
      </c>
      <c r="D120" s="48">
        <v>0.12024</v>
      </c>
    </row>
    <row r="121" spans="2:4">
      <c r="B121" s="109" t="str">
        <f>'Bunding Data'!E202</f>
        <v>Peat Arc Bund&lt;1mMachine</v>
      </c>
      <c r="C121" s="108">
        <f>IFERROR(D121/'Carbon Costs Calculator'!$AD$12,'Project Data'!D121)</f>
        <v>2.4049999999999998E-2</v>
      </c>
      <c r="D121" s="49">
        <v>2.4049999999999998E-2</v>
      </c>
    </row>
    <row r="122" spans="2:4">
      <c r="B122" s="109" t="str">
        <f>'Bunding Data'!E203</f>
        <v>Peat Arc Bund&gt;1m - &lt;2mHand</v>
      </c>
      <c r="C122" s="108">
        <f>IFERROR(D122/'Carbon Costs Calculator'!$AD$12,'Project Data'!D122)</f>
        <v>1.91405</v>
      </c>
      <c r="D122" s="48">
        <v>1.91405</v>
      </c>
    </row>
    <row r="123" spans="2:4">
      <c r="B123" s="109" t="str">
        <f>'Bunding Data'!E204</f>
        <v>Peat Arc Bund&gt;1m - &lt;2mMachine</v>
      </c>
      <c r="C123" s="108">
        <f>IFERROR(D123/'Carbon Costs Calculator'!$AD$12,'Project Data'!D123)</f>
        <v>0.38280999999999998</v>
      </c>
      <c r="D123" s="49">
        <v>0.38280999999999998</v>
      </c>
    </row>
    <row r="124" spans="2:4">
      <c r="B124" s="109" t="str">
        <f>'Bunding Data'!E205</f>
        <v>Peat Arc Bund&gt;2m - &lt;3mHand</v>
      </c>
      <c r="C124" s="108">
        <f>IFERROR(D124/'Carbon Costs Calculator'!$AD$12,'Project Data'!D124)</f>
        <v>0.17685000000000001</v>
      </c>
      <c r="D124" s="48">
        <v>0.17685000000000001</v>
      </c>
    </row>
    <row r="125" spans="2:4">
      <c r="B125" s="109" t="str">
        <f>'Bunding Data'!E206</f>
        <v>Peat Arc Bund&gt;2m - &lt;3mMachine</v>
      </c>
      <c r="C125" s="108">
        <f>IFERROR(D125/'Carbon Costs Calculator'!$AD$12,'Project Data'!D125)</f>
        <v>3.5369999999999999E-2</v>
      </c>
      <c r="D125" s="49">
        <v>3.5369999999999999E-2</v>
      </c>
    </row>
    <row r="126" spans="2:4">
      <c r="B126" s="109" t="str">
        <f>'Bunding Data'!E207</f>
        <v>Peat Arc Bund&gt;3m - &lt;4mHand</v>
      </c>
      <c r="C126" s="108">
        <f>IFERROR(D126/'Carbon Costs Calculator'!$AD$12,'Project Data'!D126)</f>
        <v>0.43035000000000001</v>
      </c>
      <c r="D126" s="48">
        <v>0.43035000000000001</v>
      </c>
    </row>
    <row r="127" spans="2:4">
      <c r="B127" s="109" t="str">
        <f>'Bunding Data'!E208</f>
        <v>Peat Arc Bund&gt;3m - &lt;4mMachine</v>
      </c>
      <c r="C127" s="108">
        <f>IFERROR(D127/'Carbon Costs Calculator'!$AD$12,'Project Data'!D127)</f>
        <v>8.6069999999999994E-2</v>
      </c>
      <c r="D127" s="49">
        <v>8.6069999999999994E-2</v>
      </c>
    </row>
    <row r="128" spans="2:4">
      <c r="B128" s="109" t="str">
        <f>'Bunding Data'!E209</f>
        <v>Peat Arc Bund&gt;4m - &lt;5mHand</v>
      </c>
      <c r="C128" s="108">
        <f>IFERROR(D128/'Carbon Costs Calculator'!$AD$12,'Project Data'!D128)</f>
        <v>0.60035000000000005</v>
      </c>
      <c r="D128" s="48">
        <v>0.60035000000000005</v>
      </c>
    </row>
    <row r="129" spans="2:4">
      <c r="B129" s="109" t="str">
        <f>'Bunding Data'!E210</f>
        <v>Peat Arc Bund&gt;4m - &lt;5mMachine</v>
      </c>
      <c r="C129" s="108">
        <f>IFERROR(D129/'Carbon Costs Calculator'!$AD$12,'Project Data'!D129)</f>
        <v>0.12007</v>
      </c>
      <c r="D129" s="49">
        <v>0.12007</v>
      </c>
    </row>
    <row r="130" spans="2:4">
      <c r="B130" s="109" t="str">
        <f>'Bunding Data'!E211</f>
        <v>Peat Arc Bund&gt;5m - &lt;10mHand</v>
      </c>
      <c r="C130" s="108">
        <f>IFERROR(D130/'Carbon Costs Calculator'!$AD$12,'Project Data'!D130)</f>
        <v>0.80910000000000004</v>
      </c>
      <c r="D130" s="48">
        <v>0.80910000000000004</v>
      </c>
    </row>
    <row r="131" spans="2:4">
      <c r="B131" s="109" t="str">
        <f>'Bunding Data'!E212</f>
        <v>Peat Arc Bund&gt;5m - &lt;10mMachine</v>
      </c>
      <c r="C131" s="108">
        <f>IFERROR(D131/'Carbon Costs Calculator'!$AD$12,'Project Data'!D131)</f>
        <v>0.16181999999999999</v>
      </c>
      <c r="D131" s="49">
        <v>0.16181999999999999</v>
      </c>
    </row>
    <row r="132" spans="2:4">
      <c r="B132" s="109" t="str">
        <f>'Bunding Data'!E213</f>
        <v>Peat Arc Bund&gt;10mHand</v>
      </c>
      <c r="C132" s="108">
        <f>IFERROR(D132/'Carbon Costs Calculator'!$AD$12,'Project Data'!D132)</f>
        <v>1.4117999999999999</v>
      </c>
      <c r="D132" s="48">
        <v>1.4117999999999999</v>
      </c>
    </row>
    <row r="133" spans="2:4">
      <c r="B133" s="109" t="str">
        <f>'Bunding Data'!E214</f>
        <v>Peat Arc Bund&gt;10mMachine</v>
      </c>
      <c r="C133" s="108">
        <f>IFERROR(D133/'Carbon Costs Calculator'!$AD$12,'Project Data'!D133)</f>
        <v>0.28236</v>
      </c>
      <c r="D133" s="49">
        <v>0.28236</v>
      </c>
    </row>
    <row r="134" spans="2:4">
      <c r="B134" s="3" t="str">
        <f>'Bunding Data'!E215</f>
        <v>Peat Bund (Gully/Drain/Deep)&lt;1mHand</v>
      </c>
      <c r="C134" s="48">
        <f>IFERROR(D134/'Carbon Costs Calculator'!$AD$12,'Project Data'!D134)</f>
        <v>0.12024</v>
      </c>
      <c r="D134" s="48">
        <v>0.12024</v>
      </c>
    </row>
    <row r="135" spans="2:4">
      <c r="B135" s="3" t="str">
        <f>'Bunding Data'!E216</f>
        <v>Peat Bund (Gully/Drain/Deep)&lt;1mMachine</v>
      </c>
      <c r="C135" s="49">
        <f>IFERROR(D135/'Carbon Costs Calculator'!$AD$8,'Project Data'!D135)</f>
        <v>2.4049999999999998E-2</v>
      </c>
      <c r="D135" s="49">
        <v>2.4049999999999998E-2</v>
      </c>
    </row>
    <row r="136" spans="2:4">
      <c r="B136" s="3" t="str">
        <f>'Bunding Data'!E227</f>
        <v>Peat Bund (Gully/Drain/Deep)&gt;10mHand</v>
      </c>
      <c r="C136" s="48">
        <f>IFERROR(D136/'Carbon Costs Calculator'!$AD$12,'Project Data'!D136)</f>
        <v>1.91405</v>
      </c>
      <c r="D136" s="48">
        <v>1.91405</v>
      </c>
    </row>
    <row r="137" spans="2:4">
      <c r="B137" s="3" t="str">
        <f>'Bunding Data'!E228</f>
        <v>Peat Bund (Gully/Drain/Deep)&gt;10mMachine</v>
      </c>
      <c r="C137" s="49">
        <f>IFERROR(D137/'Carbon Costs Calculator'!$AD$8,'Project Data'!D137)</f>
        <v>0.38280999999999998</v>
      </c>
      <c r="D137" s="49">
        <v>0.38280999999999998</v>
      </c>
    </row>
    <row r="138" spans="2:4">
      <c r="B138" s="3" t="str">
        <f>'Bunding Data'!E217</f>
        <v>Peat Bund (Gully/Drain/Deep)&gt;1m - &lt;2mHand</v>
      </c>
      <c r="C138" s="48">
        <f>IFERROR(D138/'Carbon Costs Calculator'!$AD$12,'Project Data'!D138)</f>
        <v>0.17685000000000001</v>
      </c>
      <c r="D138" s="48">
        <v>0.17685000000000001</v>
      </c>
    </row>
    <row r="139" spans="2:4">
      <c r="B139" s="3" t="str">
        <f>'Bunding Data'!E218</f>
        <v>Peat Bund (Gully/Drain/Deep)&gt;1m - &lt;2mMachine</v>
      </c>
      <c r="C139" s="49">
        <f>IFERROR(D139/'Carbon Costs Calculator'!$AD$8,'Project Data'!D139)</f>
        <v>3.5369999999999999E-2</v>
      </c>
      <c r="D139" s="49">
        <v>3.5369999999999999E-2</v>
      </c>
    </row>
    <row r="140" spans="2:4">
      <c r="B140" s="3" t="str">
        <f>'Bunding Data'!E219</f>
        <v>Peat Bund (Gully/Drain/Deep)&gt;2m - &lt;3mHand</v>
      </c>
      <c r="C140" s="48">
        <f>IFERROR(D140/'Carbon Costs Calculator'!$AD$12,'Project Data'!D140)</f>
        <v>0.43035000000000001</v>
      </c>
      <c r="D140" s="48">
        <v>0.43035000000000001</v>
      </c>
    </row>
    <row r="141" spans="2:4">
      <c r="B141" s="3" t="str">
        <f>'Bunding Data'!E220</f>
        <v>Peat Bund (Gully/Drain/Deep)&gt;2m - &lt;3mMachine</v>
      </c>
      <c r="C141" s="49">
        <f>IFERROR(D141/'Carbon Costs Calculator'!$AD$8,'Project Data'!D141)</f>
        <v>8.6069999999999994E-2</v>
      </c>
      <c r="D141" s="49">
        <v>8.6069999999999994E-2</v>
      </c>
    </row>
    <row r="142" spans="2:4">
      <c r="B142" s="3" t="str">
        <f>'Bunding Data'!E221</f>
        <v>Peat Bund (Gully/Drain/Deep)&gt;3m - &lt;4mHand</v>
      </c>
      <c r="C142" s="48">
        <f>IFERROR(D142/'Carbon Costs Calculator'!$AD$12,'Project Data'!D142)</f>
        <v>0.60035000000000005</v>
      </c>
      <c r="D142" s="48">
        <v>0.60035000000000005</v>
      </c>
    </row>
    <row r="143" spans="2:4">
      <c r="B143" s="3" t="str">
        <f>'Bunding Data'!E222</f>
        <v>Peat Bund (Gully/Drain/Deep)&gt;3m - &lt;4mMachine</v>
      </c>
      <c r="C143" s="49">
        <f>IFERROR(D143/'Carbon Costs Calculator'!$AD$8,'Project Data'!D143)</f>
        <v>0.12007</v>
      </c>
      <c r="D143" s="49">
        <v>0.12007</v>
      </c>
    </row>
    <row r="144" spans="2:4">
      <c r="B144" s="3" t="str">
        <f>'Bunding Data'!E223</f>
        <v>Peat Bund (Gully/Drain/Deep)&gt;4m - &lt;5mHand</v>
      </c>
      <c r="C144" s="48">
        <f>IFERROR(D144/'Carbon Costs Calculator'!$AD$12,'Project Data'!D144)</f>
        <v>0.80910000000000004</v>
      </c>
      <c r="D144" s="48">
        <v>0.80910000000000004</v>
      </c>
    </row>
    <row r="145" spans="2:4">
      <c r="B145" s="3" t="str">
        <f>'Bunding Data'!E224</f>
        <v>Peat Bund (Gully/Drain/Deep)&gt;4m - &lt;5mMachine</v>
      </c>
      <c r="C145" s="49">
        <f>IFERROR(D145/'Carbon Costs Calculator'!$AD$8,'Project Data'!D145)</f>
        <v>0.16181999999999999</v>
      </c>
      <c r="D145" s="49">
        <v>0.16181999999999999</v>
      </c>
    </row>
    <row r="146" spans="2:4">
      <c r="B146" s="3" t="str">
        <f>'Bunding Data'!E225</f>
        <v>Peat Bund (Gully/Drain/Deep)&gt;5m - &lt;10mHand</v>
      </c>
      <c r="C146" s="48">
        <f>IFERROR(D146/'Carbon Costs Calculator'!$AD$12,'Project Data'!D146)</f>
        <v>1.4117999999999999</v>
      </c>
      <c r="D146" s="48">
        <v>1.4117999999999999</v>
      </c>
    </row>
    <row r="147" spans="2:4">
      <c r="B147" s="3" t="str">
        <f>'Bunding Data'!E226</f>
        <v>Peat Bund (Gully/Drain/Deep)&gt;5m - &lt;10mMachine</v>
      </c>
      <c r="C147" s="49">
        <f>IFERROR(D147/'Carbon Costs Calculator'!$AD$8,'Project Data'!D147)</f>
        <v>0.28236</v>
      </c>
      <c r="D147" s="49">
        <v>0.28236</v>
      </c>
    </row>
    <row r="148" spans="2:4">
      <c r="B148" s="3" t="str">
        <f>'Bunding Data'!E229</f>
        <v>Peat Cell Bund10m2Hand</v>
      </c>
      <c r="C148" s="48">
        <f>IFERROR(D148/'Carbon Costs Calculator'!$AD$12,'Project Data'!D148)</f>
        <v>1.91405</v>
      </c>
      <c r="D148" s="48">
        <v>1.91405</v>
      </c>
    </row>
    <row r="149" spans="2:4">
      <c r="B149" s="3" t="str">
        <f>'Bunding Data'!E230</f>
        <v>Peat Cell Bund10m2Machine</v>
      </c>
      <c r="C149" s="49">
        <f>IFERROR(D149/'Carbon Costs Calculator'!$AD$8,'Project Data'!D149)</f>
        <v>0.38280999999999998</v>
      </c>
      <c r="D149" s="49">
        <v>0.38280999999999998</v>
      </c>
    </row>
    <row r="150" spans="2:4">
      <c r="B150" s="3" t="str">
        <f>'Bunding Data'!E231</f>
        <v>Peat Cell Bund15m2Hand</v>
      </c>
      <c r="C150" s="48">
        <f>IFERROR(D150/'Carbon Costs Calculator'!$AD$12,'Project Data'!D150)</f>
        <v>2.8710800000000001</v>
      </c>
      <c r="D150" s="48">
        <v>2.8710800000000001</v>
      </c>
    </row>
    <row r="151" spans="2:4">
      <c r="B151" s="3" t="str">
        <f>'Bunding Data'!E232</f>
        <v>Peat Cell Bund15m2Machine</v>
      </c>
      <c r="C151" s="49">
        <f>IFERROR(D151/'Carbon Costs Calculator'!$AD$8,'Project Data'!D151)</f>
        <v>0.57421999999999995</v>
      </c>
      <c r="D151" s="49">
        <v>0.57421999999999995</v>
      </c>
    </row>
    <row r="152" spans="2:4">
      <c r="B152" s="3" t="str">
        <f>'Bunding Data'!E233</f>
        <v>Peat Cell Bund20m2Hand</v>
      </c>
      <c r="C152" s="48">
        <f>IFERROR(D152/'Carbon Costs Calculator'!$AD$12,'Project Data'!D152)</f>
        <v>3.8281000000000001</v>
      </c>
      <c r="D152" s="48">
        <v>3.8281000000000001</v>
      </c>
    </row>
    <row r="153" spans="2:4">
      <c r="B153" s="3" t="str">
        <f>'Bunding Data'!E234</f>
        <v>Peat Cell Bund20m2Machine</v>
      </c>
      <c r="C153" s="49">
        <f>IFERROR(D153/'Carbon Costs Calculator'!$AD$8,'Project Data'!D153)</f>
        <v>0.76561999999999997</v>
      </c>
      <c r="D153" s="49">
        <v>0.76561999999999997</v>
      </c>
    </row>
    <row r="154" spans="2:4">
      <c r="B154" s="3" t="str">
        <f>'GullyGrip Blocking Data'!E194</f>
        <v>Peat Dam&lt;1mHand</v>
      </c>
      <c r="C154" s="48">
        <f>IFERROR(D154/'Carbon Costs Calculator'!$AD$12,'Project Data'!D154)</f>
        <v>9.9000000000000005E-2</v>
      </c>
      <c r="D154" s="48">
        <v>9.9000000000000005E-2</v>
      </c>
    </row>
    <row r="155" spans="2:4">
      <c r="B155" s="3" t="str">
        <f>'GullyGrip Blocking Data'!E195</f>
        <v>Peat Dam&lt;1mMachine</v>
      </c>
      <c r="C155" s="49">
        <f>IFERROR(D155/'Carbon Costs Calculator'!$AD$8,'Project Data'!D155)</f>
        <v>3.5069999999999997E-2</v>
      </c>
      <c r="D155" s="49">
        <v>3.5069999999999997E-2</v>
      </c>
    </row>
    <row r="156" spans="2:4">
      <c r="B156" s="3" t="str">
        <f>'GullyGrip Blocking Data'!E196</f>
        <v>Peat Dam&gt;1m - &lt;2mHand</v>
      </c>
      <c r="C156" s="48">
        <f>IFERROR(D156/'Carbon Costs Calculator'!$AD$12,'Project Data'!D156)</f>
        <v>0.15</v>
      </c>
      <c r="D156" s="48">
        <v>0.15</v>
      </c>
    </row>
    <row r="157" spans="2:4">
      <c r="B157" s="3" t="str">
        <f>'GullyGrip Blocking Data'!E197</f>
        <v>Peat Dam&gt;1m - &lt;2mMachine</v>
      </c>
      <c r="C157" s="49">
        <f>IFERROR(D157/'Carbon Costs Calculator'!$AD$8,'Project Data'!D157)</f>
        <v>5.2069999999999998E-2</v>
      </c>
      <c r="D157" s="49">
        <v>5.2069999999999998E-2</v>
      </c>
    </row>
    <row r="158" spans="2:4">
      <c r="B158" s="3" t="str">
        <f>'GullyGrip Blocking Data'!E198</f>
        <v>Peat Dam&gt;2m - &lt;3mHand</v>
      </c>
      <c r="C158" s="48">
        <f>IFERROR(D158/'Carbon Costs Calculator'!$AD$12,'Project Data'!D158)</f>
        <v>0.252</v>
      </c>
      <c r="D158" s="48">
        <v>0.252</v>
      </c>
    </row>
    <row r="159" spans="2:4">
      <c r="B159" s="3" t="str">
        <f>'GullyGrip Blocking Data'!E199</f>
        <v>Peat Dam&gt;2m - &lt;3mMachine</v>
      </c>
      <c r="C159" s="49">
        <f>IFERROR(D159/'Carbon Costs Calculator'!$AD$8,'Project Data'!D159)</f>
        <v>8.6069999999999994E-2</v>
      </c>
      <c r="D159" s="49">
        <v>8.6069999999999994E-2</v>
      </c>
    </row>
    <row r="160" spans="2:4">
      <c r="B160" s="3" t="str">
        <f>'GullyGrip Blocking Data'!E200</f>
        <v>Peat Dam&gt;3m - &lt;4mHand</v>
      </c>
      <c r="C160" s="48">
        <f>IFERROR(D160/'Carbon Costs Calculator'!$AD$12,'Project Data'!D160)</f>
        <v>0.35399999999999998</v>
      </c>
      <c r="D160" s="48">
        <v>0.35399999999999998</v>
      </c>
    </row>
    <row r="161" spans="2:4">
      <c r="B161" s="3" t="str">
        <f>'GullyGrip Blocking Data'!E201</f>
        <v>Peat Dam&gt;3m - &lt;4mMachine</v>
      </c>
      <c r="C161" s="49">
        <f>IFERROR(D161/'Carbon Costs Calculator'!$AD$8,'Project Data'!D161)</f>
        <v>0.12007</v>
      </c>
      <c r="D161" s="49">
        <v>0.12007</v>
      </c>
    </row>
    <row r="162" spans="2:4">
      <c r="B162" s="3" t="str">
        <f>'GullyGrip Blocking Data'!E202</f>
        <v>Peat Dam&gt;4mHand</v>
      </c>
      <c r="C162" s="48">
        <f>IFERROR(D162/'Carbon Costs Calculator'!$AD$12,'Project Data'!D162)</f>
        <v>0.40500000000000003</v>
      </c>
      <c r="D162" s="48">
        <v>0.40500000000000003</v>
      </c>
    </row>
    <row r="163" spans="2:4">
      <c r="B163" s="3" t="str">
        <f>'GullyGrip Blocking Data'!E203</f>
        <v>Peat Dam&gt;4mMachine</v>
      </c>
      <c r="C163" s="49">
        <f>IFERROR(D163/'Carbon Costs Calculator'!$AD$8,'Project Data'!D163)</f>
        <v>0.13707</v>
      </c>
      <c r="D163" s="49">
        <v>0.13707</v>
      </c>
    </row>
    <row r="164" spans="2:4">
      <c r="B164" s="3" t="str">
        <f>'Bunding Data'!E235</f>
        <v>Peat Finger Tie Back Bund&lt;1mHand</v>
      </c>
      <c r="C164" s="48">
        <f>IFERROR(D164/'Carbon Costs Calculator'!$AD$12,'Project Data'!D164)</f>
        <v>0.12024</v>
      </c>
      <c r="D164" s="48">
        <v>0.12024</v>
      </c>
    </row>
    <row r="165" spans="2:4">
      <c r="B165" s="3" t="str">
        <f>'Bunding Data'!E236</f>
        <v>Peat Finger Tie Back Bund&lt;1mMachine</v>
      </c>
      <c r="C165" s="49">
        <f>IFERROR(D165/'Carbon Costs Calculator'!$AD$8,'Project Data'!D165)</f>
        <v>2.4049999999999998E-2</v>
      </c>
      <c r="D165" s="49">
        <v>2.4049999999999998E-2</v>
      </c>
    </row>
    <row r="166" spans="2:4">
      <c r="B166" s="3" t="str">
        <f>'Bunding Data'!E247</f>
        <v>Peat Finger Tie Back Bund&gt;10mHand</v>
      </c>
      <c r="C166" s="48">
        <f>IFERROR(D166/'Carbon Costs Calculator'!$AD$12,'Project Data'!D166)</f>
        <v>1.91405</v>
      </c>
      <c r="D166" s="48">
        <v>1.91405</v>
      </c>
    </row>
    <row r="167" spans="2:4">
      <c r="B167" s="3" t="str">
        <f>'Bunding Data'!E248</f>
        <v>Peat Finger Tie Back Bund&gt;10mMachine</v>
      </c>
      <c r="C167" s="49">
        <f>IFERROR(D167/'Carbon Costs Calculator'!$AD$8,'Project Data'!D167)</f>
        <v>0.38280999999999998</v>
      </c>
      <c r="D167" s="49">
        <v>0.38280999999999998</v>
      </c>
    </row>
    <row r="168" spans="2:4">
      <c r="B168" s="3" t="str">
        <f>'Bunding Data'!E237</f>
        <v>Peat Finger Tie Back Bund&gt;1m - &lt;2mHand</v>
      </c>
      <c r="C168" s="48">
        <f>IFERROR(D168/'Carbon Costs Calculator'!$AD$12,'Project Data'!D168)</f>
        <v>0.17685000000000001</v>
      </c>
      <c r="D168" s="48">
        <v>0.17685000000000001</v>
      </c>
    </row>
    <row r="169" spans="2:4">
      <c r="B169" s="3" t="str">
        <f>'Bunding Data'!E238</f>
        <v>Peat Finger Tie Back Bund&gt;1m - &lt;2mMachine</v>
      </c>
      <c r="C169" s="49">
        <f>IFERROR(D169/'Carbon Costs Calculator'!$AD$8,'Project Data'!D169)</f>
        <v>3.5369999999999999E-2</v>
      </c>
      <c r="D169" s="49">
        <v>3.5369999999999999E-2</v>
      </c>
    </row>
    <row r="170" spans="2:4">
      <c r="B170" s="3" t="str">
        <f>'Bunding Data'!E239</f>
        <v>Peat Finger Tie Back Bund&gt;2m - &lt;3mHand</v>
      </c>
      <c r="C170" s="48">
        <f>IFERROR(D170/'Carbon Costs Calculator'!$AD$12,'Project Data'!D170)</f>
        <v>0.43035000000000001</v>
      </c>
      <c r="D170" s="48">
        <v>0.43035000000000001</v>
      </c>
    </row>
    <row r="171" spans="2:4">
      <c r="B171" s="3" t="str">
        <f>'Bunding Data'!E240</f>
        <v>Peat Finger Tie Back Bund&gt;2m - &lt;3mMachine</v>
      </c>
      <c r="C171" s="49">
        <f>IFERROR(D171/'Carbon Costs Calculator'!$AD$8,'Project Data'!D171)</f>
        <v>8.6069999999999994E-2</v>
      </c>
      <c r="D171" s="49">
        <v>8.6069999999999994E-2</v>
      </c>
    </row>
    <row r="172" spans="2:4">
      <c r="B172" s="3" t="str">
        <f>'Bunding Data'!E241</f>
        <v>Peat Finger Tie Back Bund&gt;3m - &lt;4mHand</v>
      </c>
      <c r="C172" s="48">
        <f>IFERROR(D172/'Carbon Costs Calculator'!$AD$12,'Project Data'!D172)</f>
        <v>0.60035000000000005</v>
      </c>
      <c r="D172" s="48">
        <v>0.60035000000000005</v>
      </c>
    </row>
    <row r="173" spans="2:4">
      <c r="B173" s="3" t="str">
        <f>'Bunding Data'!E242</f>
        <v>Peat Finger Tie Back Bund&gt;3m - &lt;4mMachine</v>
      </c>
      <c r="C173" s="49">
        <f>IFERROR(D173/'Carbon Costs Calculator'!$AD$8,'Project Data'!D173)</f>
        <v>0.12007</v>
      </c>
      <c r="D173" s="49">
        <v>0.12007</v>
      </c>
    </row>
    <row r="174" spans="2:4">
      <c r="B174" s="3" t="str">
        <f>'Bunding Data'!E243</f>
        <v>Peat Finger Tie Back Bund&gt;4m - &lt;5mHand</v>
      </c>
      <c r="C174" s="48">
        <f>IFERROR(D174/'Carbon Costs Calculator'!$AD$12,'Project Data'!D174)</f>
        <v>0.80910000000000004</v>
      </c>
      <c r="D174" s="48">
        <v>0.80910000000000004</v>
      </c>
    </row>
    <row r="175" spans="2:4">
      <c r="B175" s="3" t="str">
        <f>'Bunding Data'!E244</f>
        <v>Peat Finger Tie Back Bund&gt;4m - &lt;5mMachine</v>
      </c>
      <c r="C175" s="49">
        <f>IFERROR(D175/'Carbon Costs Calculator'!$AD$8,'Project Data'!D175)</f>
        <v>0.16181999999999999</v>
      </c>
      <c r="D175" s="49">
        <v>0.16181999999999999</v>
      </c>
    </row>
    <row r="176" spans="2:4">
      <c r="B176" s="3" t="str">
        <f>'Bunding Data'!E245</f>
        <v>Peat Finger Tie Back Bund&gt;5m - &lt;10mHand</v>
      </c>
      <c r="C176" s="48">
        <f>IFERROR(D176/'Carbon Costs Calculator'!$AD$12,'Project Data'!D176)</f>
        <v>1.4117999999999999</v>
      </c>
      <c r="D176" s="48">
        <v>1.4117999999999999</v>
      </c>
    </row>
    <row r="177" spans="2:4">
      <c r="B177" s="3" t="str">
        <f>'Bunding Data'!E246</f>
        <v>Peat Finger Tie Back Bund&gt;5m - &lt;10mMachine</v>
      </c>
      <c r="C177" s="49">
        <f>IFERROR(D177/'Carbon Costs Calculator'!$AD$8,'Project Data'!D177)</f>
        <v>0.28236</v>
      </c>
      <c r="D177" s="49">
        <v>0.28236</v>
      </c>
    </row>
    <row r="178" spans="2:4">
      <c r="B178" s="3" t="str">
        <f>'Bunding Data'!E249</f>
        <v>Peat Fish-Scale/Scallop Bund&lt;1mHand</v>
      </c>
      <c r="C178" s="48">
        <f>IFERROR(D178/'Carbon Costs Calculator'!$AD$12,'Project Data'!D178)</f>
        <v>0.12024</v>
      </c>
      <c r="D178" s="48">
        <v>0.12024</v>
      </c>
    </row>
    <row r="179" spans="2:4">
      <c r="B179" s="3" t="str">
        <f>'Bunding Data'!E250</f>
        <v>Peat Fish-Scale/Scallop Bund&lt;1mMachine</v>
      </c>
      <c r="C179" s="49">
        <f>IFERROR(D179/'Carbon Costs Calculator'!$AD$8,'Project Data'!D179)</f>
        <v>2.4049999999999998E-2</v>
      </c>
      <c r="D179" s="49">
        <v>2.4049999999999998E-2</v>
      </c>
    </row>
    <row r="180" spans="2:4">
      <c r="B180" s="3" t="str">
        <f>'Bunding Data'!E261</f>
        <v>Peat Fish-Scale/Scallop Bund&gt;10mHand</v>
      </c>
      <c r="C180" s="48">
        <f>IFERROR(D180/'Carbon Costs Calculator'!$AD$12,'Project Data'!D180)</f>
        <v>1.91405</v>
      </c>
      <c r="D180" s="48">
        <v>1.91405</v>
      </c>
    </row>
    <row r="181" spans="2:4">
      <c r="B181" s="3" t="str">
        <f>'Bunding Data'!E262</f>
        <v>Peat Fish-Scale/Scallop Bund&gt;10mMachine</v>
      </c>
      <c r="C181" s="49">
        <f>IFERROR(D181/'Carbon Costs Calculator'!$AD$8,'Project Data'!D181)</f>
        <v>0.38280999999999998</v>
      </c>
      <c r="D181" s="49">
        <v>0.38280999999999998</v>
      </c>
    </row>
    <row r="182" spans="2:4">
      <c r="B182" s="3" t="str">
        <f>'Bunding Data'!E251</f>
        <v>Peat Fish-Scale/Scallop Bund&gt;1m - &lt;2mHand</v>
      </c>
      <c r="C182" s="48">
        <f>IFERROR(D182/'Carbon Costs Calculator'!$AD$12,'Project Data'!D182)</f>
        <v>0.17685000000000001</v>
      </c>
      <c r="D182" s="48">
        <v>0.17685000000000001</v>
      </c>
    </row>
    <row r="183" spans="2:4">
      <c r="B183" s="3" t="str">
        <f>'Bunding Data'!E252</f>
        <v>Peat Fish-Scale/Scallop Bund&gt;1m - &lt;2mMachine</v>
      </c>
      <c r="C183" s="49">
        <f>IFERROR(D183/'Carbon Costs Calculator'!$AD$8,'Project Data'!D183)</f>
        <v>3.5369999999999999E-2</v>
      </c>
      <c r="D183" s="49">
        <v>3.5369999999999999E-2</v>
      </c>
    </row>
    <row r="184" spans="2:4">
      <c r="B184" s="3" t="str">
        <f>'Bunding Data'!E253</f>
        <v>Peat Fish-Scale/Scallop Bund&gt;2m - &lt;3mHand</v>
      </c>
      <c r="C184" s="48">
        <f>IFERROR(D184/'Carbon Costs Calculator'!$AD$12,'Project Data'!D184)</f>
        <v>0.43035000000000001</v>
      </c>
      <c r="D184" s="48">
        <v>0.43035000000000001</v>
      </c>
    </row>
    <row r="185" spans="2:4">
      <c r="B185" s="3" t="str">
        <f>'Bunding Data'!E254</f>
        <v>Peat Fish-Scale/Scallop Bund&gt;2m - &lt;3mMachine</v>
      </c>
      <c r="C185" s="49">
        <f>IFERROR(D185/'Carbon Costs Calculator'!$AD$8,'Project Data'!D185)</f>
        <v>8.6069999999999994E-2</v>
      </c>
      <c r="D185" s="49">
        <v>8.6069999999999994E-2</v>
      </c>
    </row>
    <row r="186" spans="2:4">
      <c r="B186" s="3" t="str">
        <f>'Bunding Data'!E255</f>
        <v>Peat Fish-Scale/Scallop Bund&gt;3m - &lt;4mHand</v>
      </c>
      <c r="C186" s="48">
        <f>IFERROR(D186/'Carbon Costs Calculator'!$AD$12,'Project Data'!D186)</f>
        <v>0.60035000000000005</v>
      </c>
      <c r="D186" s="48">
        <v>0.60035000000000005</v>
      </c>
    </row>
    <row r="187" spans="2:4">
      <c r="B187" s="3" t="str">
        <f>'Bunding Data'!E256</f>
        <v>Peat Fish-Scale/Scallop Bund&gt;3m - &lt;4mMachine</v>
      </c>
      <c r="C187" s="49">
        <f>IFERROR(D187/'Carbon Costs Calculator'!$AD$8,'Project Data'!D187)</f>
        <v>0.12007</v>
      </c>
      <c r="D187" s="49">
        <v>0.12007</v>
      </c>
    </row>
    <row r="188" spans="2:4">
      <c r="B188" s="3" t="str">
        <f>'Bunding Data'!E257</f>
        <v>Peat Fish-Scale/Scallop Bund&gt;4m - &lt;5mHand</v>
      </c>
      <c r="C188" s="48">
        <f>IFERROR(D188/'Carbon Costs Calculator'!$AD$12,'Project Data'!D188)</f>
        <v>0.80910000000000004</v>
      </c>
      <c r="D188" s="48">
        <v>0.80910000000000004</v>
      </c>
    </row>
    <row r="189" spans="2:4">
      <c r="B189" s="3" t="str">
        <f>'Bunding Data'!E258</f>
        <v>Peat Fish-Scale/Scallop Bund&gt;4m - &lt;5mMachine</v>
      </c>
      <c r="C189" s="49">
        <f>IFERROR(D189/'Carbon Costs Calculator'!$AD$8,'Project Data'!D189)</f>
        <v>0.16181999999999999</v>
      </c>
      <c r="D189" s="49">
        <v>0.16181999999999999</v>
      </c>
    </row>
    <row r="190" spans="2:4">
      <c r="B190" s="3" t="str">
        <f>'Bunding Data'!E259</f>
        <v>Peat Fish-Scale/Scallop Bund&gt;5m - &lt;10mHand</v>
      </c>
      <c r="C190" s="48">
        <f>IFERROR(D190/'Carbon Costs Calculator'!$AD$12,'Project Data'!D190)</f>
        <v>1.4117999999999999</v>
      </c>
      <c r="D190" s="48">
        <v>1.4117999999999999</v>
      </c>
    </row>
    <row r="191" spans="2:4">
      <c r="B191" s="3" t="str">
        <f>'Bunding Data'!E260</f>
        <v>Peat Fish-Scale/Scallop Bund&gt;5m - &lt;10mMachine</v>
      </c>
      <c r="C191" s="49">
        <f>IFERROR(D191/'Carbon Costs Calculator'!$AD$8,'Project Data'!D191)</f>
        <v>0.28236</v>
      </c>
      <c r="D191" s="49">
        <v>0.28236</v>
      </c>
    </row>
    <row r="192" spans="2:4">
      <c r="B192" s="3" t="str">
        <f>'Bunding Data'!E263</f>
        <v>Peat Mini Bund&lt;1mHand</v>
      </c>
      <c r="C192" s="48">
        <f>IFERROR(D192/'Carbon Costs Calculator'!$AD$12,'Project Data'!D192)</f>
        <v>0.12024</v>
      </c>
      <c r="D192" s="48">
        <v>0.12024</v>
      </c>
    </row>
    <row r="193" spans="2:4">
      <c r="B193" s="3" t="str">
        <f>'Bunding Data'!E264</f>
        <v>Peat Mini Bund&lt;1mMachine</v>
      </c>
      <c r="C193" s="49">
        <f>IFERROR(D193/'Carbon Costs Calculator'!$AD$8,'Project Data'!D193)</f>
        <v>2.4049999999999998E-2</v>
      </c>
      <c r="D193" s="49">
        <v>2.4049999999999998E-2</v>
      </c>
    </row>
    <row r="194" spans="2:4">
      <c r="B194" s="3" t="str">
        <f>'Bunding Data'!E265</f>
        <v>Peat Surface Bund&lt;1mHand</v>
      </c>
      <c r="C194" s="48">
        <f>IFERROR(D194/'Carbon Costs Calculator'!$AD$12,'Project Data'!D194)</f>
        <v>0.12024</v>
      </c>
      <c r="D194" s="48">
        <v>0.12024</v>
      </c>
    </row>
    <row r="195" spans="2:4">
      <c r="B195" s="3" t="str">
        <f>'Bunding Data'!E266</f>
        <v>Peat Surface Bund&lt;1mMachine</v>
      </c>
      <c r="C195" s="49">
        <f>IFERROR(D195/'Carbon Costs Calculator'!$AD$8,'Project Data'!D195)</f>
        <v>2.4049999999999998E-2</v>
      </c>
      <c r="D195" s="49">
        <v>2.4049999999999998E-2</v>
      </c>
    </row>
    <row r="196" spans="2:4">
      <c r="B196" s="3" t="str">
        <f>'Bunding Data'!E277</f>
        <v>Peat Surface Bund&gt;10mHand</v>
      </c>
      <c r="C196" s="48">
        <f>IFERROR(D196/'Carbon Costs Calculator'!$AD$12,'Project Data'!D196)</f>
        <v>1.91405</v>
      </c>
      <c r="D196" s="48">
        <v>1.91405</v>
      </c>
    </row>
    <row r="197" spans="2:4">
      <c r="B197" s="3" t="str">
        <f>'Bunding Data'!E278</f>
        <v>Peat Surface Bund&gt;10mMachine</v>
      </c>
      <c r="C197" s="49">
        <f>IFERROR(D197/'Carbon Costs Calculator'!$AD$8,'Project Data'!D197)</f>
        <v>0.38280999999999998</v>
      </c>
      <c r="D197" s="49">
        <v>0.38280999999999998</v>
      </c>
    </row>
    <row r="198" spans="2:4">
      <c r="B198" s="3" t="str">
        <f>'Bunding Data'!E267</f>
        <v>Peat Surface Bund&gt;1m - &lt;2mHand</v>
      </c>
      <c r="C198" s="48">
        <f>IFERROR(D198/'Carbon Costs Calculator'!$AD$12,'Project Data'!D198)</f>
        <v>0.17685000000000001</v>
      </c>
      <c r="D198" s="48">
        <v>0.17685000000000001</v>
      </c>
    </row>
    <row r="199" spans="2:4">
      <c r="B199" s="3" t="str">
        <f>'Bunding Data'!E268</f>
        <v>Peat Surface Bund&gt;1m - &lt;2mMachine</v>
      </c>
      <c r="C199" s="49">
        <f>IFERROR(D199/'Carbon Costs Calculator'!$AD$8,'Project Data'!D199)</f>
        <v>3.5369999999999999E-2</v>
      </c>
      <c r="D199" s="49">
        <v>3.5369999999999999E-2</v>
      </c>
    </row>
    <row r="200" spans="2:4">
      <c r="B200" s="3" t="str">
        <f>'Bunding Data'!E269</f>
        <v>Peat Surface Bund&gt;2m - &lt;3mHand</v>
      </c>
      <c r="C200" s="48">
        <f>IFERROR(D200/'Carbon Costs Calculator'!$AD$12,'Project Data'!D200)</f>
        <v>0.43035000000000001</v>
      </c>
      <c r="D200" s="48">
        <v>0.43035000000000001</v>
      </c>
    </row>
    <row r="201" spans="2:4">
      <c r="B201" s="3" t="str">
        <f>'Bunding Data'!E270</f>
        <v>Peat Surface Bund&gt;2m - &lt;3mMachine</v>
      </c>
      <c r="C201" s="49">
        <f>IFERROR(D201/'Carbon Costs Calculator'!$AD$8,'Project Data'!D201)</f>
        <v>8.6069999999999994E-2</v>
      </c>
      <c r="D201" s="49">
        <v>8.6069999999999994E-2</v>
      </c>
    </row>
    <row r="202" spans="2:4">
      <c r="B202" s="3" t="str">
        <f>'Bunding Data'!E271</f>
        <v>Peat Surface Bund&gt;3m - &lt;4mHand</v>
      </c>
      <c r="C202" s="48">
        <f>IFERROR(D202/'Carbon Costs Calculator'!$AD$12,'Project Data'!D202)</f>
        <v>0.60035000000000005</v>
      </c>
      <c r="D202" s="48">
        <v>0.60035000000000005</v>
      </c>
    </row>
    <row r="203" spans="2:4">
      <c r="B203" s="3" t="str">
        <f>'Bunding Data'!E272</f>
        <v>Peat Surface Bund&gt;3m - &lt;4mMachine</v>
      </c>
      <c r="C203" s="49">
        <f>IFERROR(D203/'Carbon Costs Calculator'!$AD$8,'Project Data'!D203)</f>
        <v>0.12007</v>
      </c>
      <c r="D203" s="49">
        <v>0.12007</v>
      </c>
    </row>
    <row r="204" spans="2:4">
      <c r="B204" s="3" t="str">
        <f>'Bunding Data'!E273</f>
        <v>Peat Surface Bund&gt;4m - &lt;5mHand</v>
      </c>
      <c r="C204" s="48">
        <f>IFERROR(D204/'Carbon Costs Calculator'!$AD$12,'Project Data'!D204)</f>
        <v>0.80910000000000004</v>
      </c>
      <c r="D204" s="48">
        <v>0.80910000000000004</v>
      </c>
    </row>
    <row r="205" spans="2:4">
      <c r="B205" s="3" t="str">
        <f>'Bunding Data'!E274</f>
        <v>Peat Surface Bund&gt;4m - &lt;5mMachine</v>
      </c>
      <c r="C205" s="49">
        <f>IFERROR(D205/'Carbon Costs Calculator'!$AD$8,'Project Data'!D205)</f>
        <v>0.16181999999999999</v>
      </c>
      <c r="D205" s="49">
        <v>0.16181999999999999</v>
      </c>
    </row>
    <row r="206" spans="2:4">
      <c r="B206" s="3" t="str">
        <f>'Bunding Data'!E275</f>
        <v>Peat Surface Bund&gt;5m - &lt;10mHand</v>
      </c>
      <c r="C206" s="48">
        <f>IFERROR(D206/'Carbon Costs Calculator'!$AD$12,'Project Data'!D206)</f>
        <v>1.4117999999999999</v>
      </c>
      <c r="D206" s="48">
        <v>1.4117999999999999</v>
      </c>
    </row>
    <row r="207" spans="2:4">
      <c r="B207" s="3" t="str">
        <f>'Bunding Data'!E276</f>
        <v>Peat Surface Bund&gt;5m - &lt;10mMachine</v>
      </c>
      <c r="C207" s="49">
        <f>IFERROR(D207/'Carbon Costs Calculator'!$AD$8,'Project Data'!D207)</f>
        <v>0.28236</v>
      </c>
      <c r="D207" s="49">
        <v>0.28236</v>
      </c>
    </row>
    <row r="208" spans="2:4">
      <c r="B208" s="3" t="str">
        <f>'Bunding Data'!E279</f>
        <v>Peat Trench Bund&lt;1mHand</v>
      </c>
      <c r="C208" s="48">
        <f>IFERROR(D208/'Carbon Costs Calculator'!$AD$12,'Project Data'!D208)</f>
        <v>0.12024</v>
      </c>
      <c r="D208" s="48">
        <v>0.12024</v>
      </c>
    </row>
    <row r="209" spans="2:4">
      <c r="B209" s="3" t="str">
        <f>'Bunding Data'!E280</f>
        <v>Peat Trench Bund&lt;1mMachine</v>
      </c>
      <c r="C209" s="49">
        <f>IFERROR(D209/'Carbon Costs Calculator'!$AD$8,'Project Data'!D209)</f>
        <v>2.4049999999999998E-2</v>
      </c>
      <c r="D209" s="49">
        <v>2.4049999999999998E-2</v>
      </c>
    </row>
    <row r="210" spans="2:4">
      <c r="B210" s="3" t="str">
        <f>'Bunding Data'!E291</f>
        <v>Peat Trench Bund&gt;10mHand</v>
      </c>
      <c r="C210" s="48">
        <f>IFERROR(D210/'Carbon Costs Calculator'!$AD$12,'Project Data'!D210)</f>
        <v>1.91405</v>
      </c>
      <c r="D210" s="48">
        <v>1.91405</v>
      </c>
    </row>
    <row r="211" spans="2:4">
      <c r="B211" s="3" t="str">
        <f>'Bunding Data'!E292</f>
        <v>Peat Trench Bund&gt;10mMachine</v>
      </c>
      <c r="C211" s="49">
        <f>IFERROR(D211/'Carbon Costs Calculator'!$AD$8,'Project Data'!D211)</f>
        <v>0.38280999999999998</v>
      </c>
      <c r="D211" s="49">
        <v>0.38280999999999998</v>
      </c>
    </row>
    <row r="212" spans="2:4">
      <c r="B212" s="3" t="str">
        <f>'Bunding Data'!E281</f>
        <v>Peat Trench Bund&gt;1m - &lt;2mHand</v>
      </c>
      <c r="C212" s="48">
        <f>IFERROR(D212/'Carbon Costs Calculator'!$AD$12,'Project Data'!D212)</f>
        <v>0.17685000000000001</v>
      </c>
      <c r="D212" s="48">
        <v>0.17685000000000001</v>
      </c>
    </row>
    <row r="213" spans="2:4">
      <c r="B213" s="3" t="str">
        <f>'Bunding Data'!E282</f>
        <v>Peat Trench Bund&gt;1m - &lt;2mMachine</v>
      </c>
      <c r="C213" s="49">
        <f>IFERROR(D213/'Carbon Costs Calculator'!$AD$8,'Project Data'!D213)</f>
        <v>3.5369999999999999E-2</v>
      </c>
      <c r="D213" s="49">
        <v>3.5369999999999999E-2</v>
      </c>
    </row>
    <row r="214" spans="2:4">
      <c r="B214" s="3" t="str">
        <f>'Bunding Data'!E283</f>
        <v>Peat Trench Bund&gt;2m - &lt;3mHand</v>
      </c>
      <c r="C214" s="48">
        <f>IFERROR(D214/'Carbon Costs Calculator'!$AD$12,'Project Data'!D214)</f>
        <v>0.43035000000000001</v>
      </c>
      <c r="D214" s="48">
        <v>0.43035000000000001</v>
      </c>
    </row>
    <row r="215" spans="2:4">
      <c r="B215" s="3" t="str">
        <f>'Bunding Data'!E284</f>
        <v>Peat Trench Bund&gt;2m - &lt;3mMachine</v>
      </c>
      <c r="C215" s="49">
        <f>IFERROR(D215/'Carbon Costs Calculator'!$AD$8,'Project Data'!D215)</f>
        <v>8.6069999999999994E-2</v>
      </c>
      <c r="D215" s="49">
        <v>8.6069999999999994E-2</v>
      </c>
    </row>
    <row r="216" spans="2:4">
      <c r="B216" s="3" t="str">
        <f>'Bunding Data'!E285</f>
        <v>Peat Trench Bund&gt;3m - &lt;4mHand</v>
      </c>
      <c r="C216" s="48">
        <f>IFERROR(D216/'Carbon Costs Calculator'!$AD$12,'Project Data'!D216)</f>
        <v>0.60035000000000005</v>
      </c>
      <c r="D216" s="48">
        <v>0.60035000000000005</v>
      </c>
    </row>
    <row r="217" spans="2:4">
      <c r="B217" s="3" t="str">
        <f>'Bunding Data'!E286</f>
        <v>Peat Trench Bund&gt;3m - &lt;4mMachine</v>
      </c>
      <c r="C217" s="49">
        <f>IFERROR(D217/'Carbon Costs Calculator'!$AD$8,'Project Data'!D217)</f>
        <v>0.12007</v>
      </c>
      <c r="D217" s="49">
        <v>0.12007</v>
      </c>
    </row>
    <row r="218" spans="2:4">
      <c r="B218" s="3" t="str">
        <f>'Bunding Data'!E287</f>
        <v>Peat Trench Bund&gt;4m - &lt;5mHand</v>
      </c>
      <c r="C218" s="48">
        <f>IFERROR(D218/'Carbon Costs Calculator'!$AD$12,'Project Data'!D218)</f>
        <v>0.80910000000000004</v>
      </c>
      <c r="D218" s="48">
        <v>0.80910000000000004</v>
      </c>
    </row>
    <row r="219" spans="2:4">
      <c r="B219" s="3" t="str">
        <f>'Bunding Data'!E288</f>
        <v>Peat Trench Bund&gt;4m - &lt;5mMachine</v>
      </c>
      <c r="C219" s="49">
        <f>IFERROR(D219/'Carbon Costs Calculator'!$AD$8,'Project Data'!D219)</f>
        <v>0.16181999999999999</v>
      </c>
      <c r="D219" s="49">
        <v>0.16181999999999999</v>
      </c>
    </row>
    <row r="220" spans="2:4">
      <c r="B220" s="3" t="str">
        <f>'Bunding Data'!E289</f>
        <v>Peat Trench Bund&gt;5m - &lt;10mHand</v>
      </c>
      <c r="C220" s="48">
        <f>IFERROR(D220/'Carbon Costs Calculator'!$AD$12,'Project Data'!D220)</f>
        <v>1.4117999999999999</v>
      </c>
      <c r="D220" s="48">
        <v>1.4117999999999999</v>
      </c>
    </row>
    <row r="221" spans="2:4">
      <c r="B221" s="3" t="str">
        <f>'Bunding Data'!E290</f>
        <v>Peat Trench Bund&gt;5m - &lt;10mMachine</v>
      </c>
      <c r="C221" s="49">
        <f>IFERROR(D221/'Carbon Costs Calculator'!$AD$8,'Project Data'!D221)</f>
        <v>0.28236</v>
      </c>
      <c r="D221" s="49">
        <v>0.28236</v>
      </c>
    </row>
    <row r="222" spans="2:4">
      <c r="B222" s="3" t="str">
        <f>'GullyGrip Blocking Data'!E214</f>
        <v>Peat Wave Dam/Zippering&lt;1mHand</v>
      </c>
      <c r="C222" s="48">
        <f>IFERROR(D222/'Carbon Costs Calculator'!$AD$12,'Project Data'!D222)</f>
        <v>0.12375</v>
      </c>
      <c r="D222" s="48">
        <v>0.12375</v>
      </c>
    </row>
    <row r="223" spans="2:4">
      <c r="B223" s="3" t="str">
        <f>'GullyGrip Blocking Data'!E215</f>
        <v>Peat Wave Dam/Zippering&lt;1mMachine</v>
      </c>
      <c r="C223" s="49">
        <f>IFERROR(D223/'Carbon Costs Calculator'!$AD$8,'Project Data'!D223)</f>
        <v>4.3839999999999997E-2</v>
      </c>
      <c r="D223" s="49">
        <v>4.3839999999999997E-2</v>
      </c>
    </row>
    <row r="224" spans="2:4">
      <c r="B224" s="3" t="str">
        <f>'GullyGrip Blocking Data'!E216</f>
        <v>Peat Wave Dam/Zippering&gt;1m - &lt;2mHand</v>
      </c>
      <c r="C224" s="48">
        <f>IFERROR(D224/'Carbon Costs Calculator'!$AD$12,'Project Data'!D224)</f>
        <v>0.375</v>
      </c>
      <c r="D224" s="48">
        <v>0.375</v>
      </c>
    </row>
    <row r="225" spans="2:6">
      <c r="B225" s="3" t="str">
        <f>'GullyGrip Blocking Data'!E217</f>
        <v>Peat Wave Dam/Zippering&gt;1m - &lt;2mMachine</v>
      </c>
      <c r="C225" s="49">
        <f>IFERROR(D225/'Carbon Costs Calculator'!$AD$8,'Project Data'!D225)</f>
        <v>0.13017999999999999</v>
      </c>
      <c r="D225" s="49">
        <v>0.13017999999999999</v>
      </c>
    </row>
    <row r="226" spans="2:6">
      <c r="B226" s="3" t="str">
        <f>'GullyGrip Blocking Data'!E218</f>
        <v>Peat Wave Dam/Zippering&gt;2m - &lt;3mHand</v>
      </c>
      <c r="C226" s="48">
        <f>IFERROR(D226/'Carbon Costs Calculator'!$AD$12,'Project Data'!D226)</f>
        <v>0.63</v>
      </c>
      <c r="D226" s="48">
        <v>0.63</v>
      </c>
    </row>
    <row r="227" spans="2:6">
      <c r="B227" s="3" t="str">
        <f>'GullyGrip Blocking Data'!E219</f>
        <v>Peat Wave Dam/Zippering&gt;2m - &lt;3mMachine</v>
      </c>
      <c r="C227" s="49">
        <f>IFERROR(D227/'Carbon Costs Calculator'!$AD$8,'Project Data'!D227)</f>
        <v>0.21518000000000001</v>
      </c>
      <c r="D227" s="49">
        <v>0.21518000000000001</v>
      </c>
    </row>
    <row r="228" spans="2:6">
      <c r="B228" s="3" t="str">
        <f>'GullyGrip Blocking Data'!E220</f>
        <v>Peat Wave Dam/Zippering&gt;3m - &lt;4mHand</v>
      </c>
      <c r="C228" s="48">
        <f>IFERROR(D228/'Carbon Costs Calculator'!$AD$12,'Project Data'!D228)</f>
        <v>0.88500000000000001</v>
      </c>
      <c r="D228" s="48">
        <v>0.88500000000000001</v>
      </c>
    </row>
    <row r="229" spans="2:6">
      <c r="B229" s="3" t="str">
        <f>'GullyGrip Blocking Data'!E221</f>
        <v>Peat Wave Dam/Zippering&gt;3m - &lt;4mMachine</v>
      </c>
      <c r="C229" s="49">
        <f>IFERROR(D229/'Carbon Costs Calculator'!$AD$8,'Project Data'!D229)</f>
        <v>0.30018</v>
      </c>
      <c r="D229" s="49">
        <v>0.30018</v>
      </c>
    </row>
    <row r="230" spans="2:6">
      <c r="B230" s="3" t="str">
        <f>'GullyGrip Blocking Data'!E222</f>
        <v>Peat Wave Dam/Zippering&gt;4mHand</v>
      </c>
      <c r="C230" s="48">
        <f>IFERROR(D230/'Carbon Costs Calculator'!$AD$12,'Project Data'!D230)</f>
        <v>1.0125</v>
      </c>
      <c r="D230" s="48">
        <v>1.0125</v>
      </c>
    </row>
    <row r="231" spans="2:6">
      <c r="B231" s="3" t="str">
        <f>'GullyGrip Blocking Data'!E223</f>
        <v>Peat Wave Dam/Zippering&gt;4mMachine</v>
      </c>
      <c r="C231" s="49">
        <f>IFERROR(D231/'Carbon Costs Calculator'!$AD$8,'Project Data'!D231)</f>
        <v>0.34267999999999998</v>
      </c>
      <c r="D231" s="49">
        <v>0.34267999999999998</v>
      </c>
    </row>
    <row r="232" spans="2:6">
      <c r="B232" s="3" t="str">
        <f>'GullyGrip Blocking Data'!E204</f>
        <v>Peat Wave Dam&lt;1mHand</v>
      </c>
      <c r="C232" s="48">
        <f>IFERROR(D232/'Carbon Costs Calculator'!$AD$12,'Project Data'!D232)</f>
        <v>0.12375</v>
      </c>
      <c r="D232" s="48">
        <v>0.12375</v>
      </c>
    </row>
    <row r="233" spans="2:6">
      <c r="B233" s="3" t="str">
        <f>'GullyGrip Blocking Data'!E205</f>
        <v>Peat Wave Dam&lt;1mMachine</v>
      </c>
      <c r="C233" s="49">
        <f>IFERROR(D233/'Carbon Costs Calculator'!$AD$8,'Project Data'!D233)</f>
        <v>4.3839999999999997E-2</v>
      </c>
      <c r="D233" s="49">
        <v>4.3839999999999997E-2</v>
      </c>
    </row>
    <row r="234" spans="2:6">
      <c r="B234" s="3" t="str">
        <f>'GullyGrip Blocking Data'!E206</f>
        <v>Peat Wave Dam&gt;1m - &lt;2mHand</v>
      </c>
      <c r="C234" s="48">
        <f>IFERROR(D234/'Carbon Costs Calculator'!$AD$12,'Project Data'!D234)</f>
        <v>0.1875</v>
      </c>
      <c r="D234" s="48">
        <v>0.1875</v>
      </c>
    </row>
    <row r="235" spans="2:6">
      <c r="B235" s="3" t="str">
        <f>'GullyGrip Blocking Data'!E207</f>
        <v>Peat Wave Dam&gt;1m - &lt;2mMachine</v>
      </c>
      <c r="C235" s="49">
        <f>IFERROR(D235/'Carbon Costs Calculator'!$AD$8,'Project Data'!D235)</f>
        <v>6.5089999999999995E-2</v>
      </c>
      <c r="D235" s="49">
        <v>6.5089999999999995E-2</v>
      </c>
    </row>
    <row r="236" spans="2:6">
      <c r="B236" s="3" t="str">
        <f>'GullyGrip Blocking Data'!E208</f>
        <v>Peat Wave Dam&gt;2m - &lt;3mHand</v>
      </c>
      <c r="C236" s="48">
        <f>IFERROR(D236/'Carbon Costs Calculator'!$AD$12,'Project Data'!D236)</f>
        <v>0.315</v>
      </c>
      <c r="D236" s="48">
        <v>0.315</v>
      </c>
    </row>
    <row r="237" spans="2:6">
      <c r="B237" s="3" t="str">
        <f>'GullyGrip Blocking Data'!E209</f>
        <v>Peat Wave Dam&gt;2m - &lt;3mMachine</v>
      </c>
      <c r="C237" s="49">
        <f>IFERROR(D237/'Carbon Costs Calculator'!$AD$8,'Project Data'!D237)</f>
        <v>0.10759000000000001</v>
      </c>
      <c r="D237" s="49">
        <v>0.10759000000000001</v>
      </c>
    </row>
    <row r="238" spans="2:6">
      <c r="B238" s="3" t="str">
        <f>'GullyGrip Blocking Data'!E210</f>
        <v>Peat Wave Dam&gt;3m - &lt;4mHand</v>
      </c>
      <c r="C238" s="48">
        <f>IFERROR(D238/'Carbon Costs Calculator'!$AD$12,'Project Data'!D238)</f>
        <v>0.4425</v>
      </c>
      <c r="D238" s="48">
        <v>0.4425</v>
      </c>
    </row>
    <row r="239" spans="2:6">
      <c r="B239" s="3" t="str">
        <f>'GullyGrip Blocking Data'!E211</f>
        <v>Peat Wave Dam&gt;3m - &lt;4mMachine</v>
      </c>
      <c r="C239" s="49">
        <f>IFERROR(D239/'Carbon Costs Calculator'!$AD$8,'Project Data'!D239)</f>
        <v>0.15009</v>
      </c>
      <c r="D239" s="49">
        <v>0.15009</v>
      </c>
    </row>
    <row r="240" spans="2:6">
      <c r="B240" s="3" t="str">
        <f>'GullyGrip Blocking Data'!E212</f>
        <v>Peat Wave Dam&gt;4mHand</v>
      </c>
      <c r="C240" s="48">
        <f>IFERROR(D240/'Carbon Costs Calculator'!$AD$12,'Project Data'!D240)</f>
        <v>0.50624999999999998</v>
      </c>
      <c r="D240" s="48">
        <v>0.50624999999999998</v>
      </c>
      <c r="E240" s="44"/>
      <c r="F240" s="44"/>
    </row>
    <row r="241" spans="2:4">
      <c r="B241" s="3" t="str">
        <f>'GullyGrip Blocking Data'!E213</f>
        <v>Peat Wave Dam&gt;4mMachine</v>
      </c>
      <c r="C241" s="49">
        <f>IFERROR(D241/'Carbon Costs Calculator'!$AD$8,'Project Data'!D241)</f>
        <v>0.17133999999999999</v>
      </c>
      <c r="D241" s="49">
        <v>0.17133999999999999</v>
      </c>
    </row>
    <row r="242" spans="2:4">
      <c r="B242" s="3" t="str">
        <f>'GullyGrip Blocking Data'!E224</f>
        <v>Plastic Piling&lt;1mHand</v>
      </c>
      <c r="C242" s="48">
        <f>IFERROR(D242/'Carbon Costs Calculator'!$AD$12,'Project Data'!D242)</f>
        <v>0.14765</v>
      </c>
      <c r="D242" s="48">
        <v>0.14765</v>
      </c>
    </row>
    <row r="243" spans="2:4">
      <c r="B243" s="3" t="str">
        <f>'GullyGrip Blocking Data'!E225</f>
        <v>Plastic Piling&lt;1mHelicopter - Assisted</v>
      </c>
      <c r="C243" s="49">
        <f>IFERROR(D243/'Carbon Costs Calculator'!$AD$10,'Project Data'!D243)</f>
        <v>1.6900000000000001E-3</v>
      </c>
      <c r="D243" s="49">
        <v>1.6900000000000001E-3</v>
      </c>
    </row>
    <row r="244" spans="2:4">
      <c r="B244" s="3" t="str">
        <f>'GullyGrip Blocking Data'!E226</f>
        <v>Plastic Piling&lt;1mMachine</v>
      </c>
      <c r="C244" s="48">
        <f>IFERROR(D244/'Carbon Costs Calculator'!$AD$8,'Project Data'!D244)</f>
        <v>2.9530000000000001E-2</v>
      </c>
      <c r="D244" s="48">
        <v>2.9530000000000001E-2</v>
      </c>
    </row>
    <row r="245" spans="2:4">
      <c r="B245" s="3" t="str">
        <f>'GullyGrip Blocking Data'!E227</f>
        <v>Plastic Piling&gt;1m - &lt;2mHand</v>
      </c>
      <c r="C245" s="49">
        <f>IFERROR(D245/'Carbon Costs Calculator'!$AD$12,'Project Data'!D245)</f>
        <v>0.21854000000000001</v>
      </c>
      <c r="D245" s="49">
        <v>0.21854000000000001</v>
      </c>
    </row>
    <row r="246" spans="2:4">
      <c r="B246" s="3" t="str">
        <f>'GullyGrip Blocking Data'!E228</f>
        <v>Plastic Piling&gt;1m - &lt;2mHelicopter - Assisted</v>
      </c>
      <c r="C246" s="48">
        <f>IFERROR(D246/'Carbon Costs Calculator'!$AD$10,'Project Data'!D246)</f>
        <v>2.5600000000000002E-3</v>
      </c>
      <c r="D246" s="48">
        <v>2.5600000000000002E-3</v>
      </c>
    </row>
    <row r="247" spans="2:4">
      <c r="B247" s="3" t="str">
        <f>'GullyGrip Blocking Data'!E229</f>
        <v>Plastic Piling&gt;1m - &lt;2mMachine</v>
      </c>
      <c r="C247" s="49">
        <f>IFERROR(D247/'Carbon Costs Calculator'!$AD$8,'Project Data'!D247)</f>
        <v>4.3709999999999999E-2</v>
      </c>
      <c r="D247" s="49">
        <v>4.3709999999999999E-2</v>
      </c>
    </row>
    <row r="248" spans="2:4">
      <c r="B248" s="3" t="str">
        <f>'GullyGrip Blocking Data'!E230</f>
        <v>Plastic Piling&gt;2m - &lt;3mHand</v>
      </c>
      <c r="C248" s="48">
        <f>IFERROR(D248/'Carbon Costs Calculator'!$AD$12,'Project Data'!D248)</f>
        <v>0.35754000000000002</v>
      </c>
      <c r="D248" s="48">
        <v>0.35754000000000002</v>
      </c>
    </row>
    <row r="249" spans="2:4">
      <c r="B249" s="3" t="str">
        <f>'GullyGrip Blocking Data'!E231</f>
        <v>Plastic Piling&gt;2m - &lt;3mHelicopter - Assisted</v>
      </c>
      <c r="C249" s="49">
        <f>IFERROR(D249/'Carbon Costs Calculator'!$AD$10,'Project Data'!D249)</f>
        <v>4.2500000000000003E-3</v>
      </c>
      <c r="D249" s="49">
        <v>4.2500000000000003E-3</v>
      </c>
    </row>
    <row r="250" spans="2:4">
      <c r="B250" s="3" t="str">
        <f>'GullyGrip Blocking Data'!E232</f>
        <v>Plastic Piling&gt;2m - &lt;3mMachine</v>
      </c>
      <c r="C250" s="48">
        <f>IFERROR(D250/'Carbon Costs Calculator'!$AD$8,'Project Data'!D250)</f>
        <v>7.1510000000000004E-2</v>
      </c>
      <c r="D250" s="48">
        <v>7.1510000000000004E-2</v>
      </c>
    </row>
    <row r="251" spans="2:4">
      <c r="B251" s="3" t="str">
        <f>'GullyGrip Blocking Data'!E233</f>
        <v>Plastic Piling&gt;3m - &lt;4mHand</v>
      </c>
      <c r="C251" s="49">
        <f>IFERROR(D251/'Carbon Costs Calculator'!$AD$12,'Project Data'!D251)</f>
        <v>0.49653999999999998</v>
      </c>
      <c r="D251" s="49">
        <v>0.49653999999999998</v>
      </c>
    </row>
    <row r="252" spans="2:4">
      <c r="B252" s="3" t="str">
        <f>'GullyGrip Blocking Data'!E234</f>
        <v>Plastic Piling&gt;3m - &lt;4mHelicopter - Assisted</v>
      </c>
      <c r="C252" s="49">
        <f>IFERROR(D252/'Carbon Costs Calculator'!$AD$10,'Project Data'!D252)</f>
        <v>5.96E-3</v>
      </c>
      <c r="D252" s="48">
        <v>5.96E-3</v>
      </c>
    </row>
    <row r="253" spans="2:4">
      <c r="B253" s="3" t="str">
        <f>'GullyGrip Blocking Data'!E235</f>
        <v>Plastic Piling&gt;3m - &lt;4mMachine</v>
      </c>
      <c r="C253" s="49">
        <f>IFERROR(D253/'Carbon Costs Calculator'!$AD$8,'Project Data'!D253)</f>
        <v>9.9309999999999996E-2</v>
      </c>
      <c r="D253" s="49">
        <v>9.9309999999999996E-2</v>
      </c>
    </row>
    <row r="254" spans="2:4">
      <c r="B254" s="3" t="str">
        <f>'GullyGrip Blocking Data'!E236</f>
        <v>Plastic Piling&gt;4mHand</v>
      </c>
      <c r="C254" s="48">
        <f>IFERROR(D254/'Carbon Costs Calculator'!$AD$12,'Project Data'!D254)</f>
        <v>0.56603999999999999</v>
      </c>
      <c r="D254" s="48">
        <v>0.56603999999999999</v>
      </c>
    </row>
    <row r="255" spans="2:4">
      <c r="B255" s="3" t="str">
        <f>'GullyGrip Blocking Data'!E237</f>
        <v>Plastic Piling&gt;4mHelicopter - Assisted</v>
      </c>
      <c r="C255" s="49">
        <f>IFERROR(D255/'Carbon Costs Calculator'!$AD$10,'Project Data'!D255)</f>
        <v>6.8100000000000001E-3</v>
      </c>
      <c r="D255" s="49">
        <v>6.8100000000000001E-3</v>
      </c>
    </row>
    <row r="256" spans="2:4">
      <c r="B256" s="3" t="str">
        <f>'GullyGrip Blocking Data'!E238</f>
        <v>Plastic Piling&gt;4mMachine</v>
      </c>
      <c r="C256" s="48">
        <f>IFERROR(D256/'Carbon Costs Calculator'!$AD$8,'Project Data'!D256)</f>
        <v>0.11321000000000001</v>
      </c>
      <c r="D256" s="48">
        <v>0.11321000000000001</v>
      </c>
    </row>
    <row r="257" spans="2:4">
      <c r="B257" s="3" t="str">
        <f>'GullyGrip Blocking Data'!E239</f>
        <v>Stone Dam&lt;1m (1 unit)Helicopter - Assisted</v>
      </c>
      <c r="C257" s="49">
        <f>IFERROR(D257/'Carbon Costs Calculator'!$AD$10,'Project Data'!D257)</f>
        <v>0.128</v>
      </c>
      <c r="D257" s="49">
        <v>0.128</v>
      </c>
    </row>
    <row r="258" spans="2:4">
      <c r="B258" s="3" t="str">
        <f>'GullyGrip Blocking Data'!E240</f>
        <v>Stone Dam&lt;1m (1 unit)Machine - Assisted</v>
      </c>
      <c r="C258" s="48">
        <f>IFERROR(D258/'Carbon Costs Calculator'!$AD$8,'Project Data'!D258)</f>
        <v>0.25807000000000002</v>
      </c>
      <c r="D258" s="48">
        <v>0.25807000000000002</v>
      </c>
    </row>
    <row r="259" spans="2:4">
      <c r="B259" s="3" t="str">
        <f>'GullyGrip Blocking Data'!E241</f>
        <v>Stone Dam&gt;1m - &lt;2m (2 units)Helicopter - Assisted</v>
      </c>
      <c r="C259" s="49">
        <f>IFERROR(D259/'Carbon Costs Calculator'!$AD$10,'Project Data'!D259)</f>
        <v>0.25600000000000001</v>
      </c>
      <c r="D259" s="49">
        <v>0.25600000000000001</v>
      </c>
    </row>
    <row r="260" spans="2:4">
      <c r="B260" s="3" t="str">
        <f>'GullyGrip Blocking Data'!E242</f>
        <v>Stone Dam&gt;1m - &lt;2m (2 units)Machine - Assisted</v>
      </c>
      <c r="C260" s="48">
        <f>IFERROR(D260/'Carbon Costs Calculator'!$AD$8,'Project Data'!D260)</f>
        <v>0.51407000000000003</v>
      </c>
      <c r="D260" s="48">
        <v>0.51407000000000003</v>
      </c>
    </row>
    <row r="261" spans="2:4">
      <c r="B261" s="3" t="str">
        <f>'GullyGrip Blocking Data'!E243</f>
        <v>Stone Dam&gt;2m - &lt;3m (3 units)Helicopter - Assisted</v>
      </c>
      <c r="C261" s="49">
        <f>IFERROR(D261/'Carbon Costs Calculator'!$AD$10,'Project Data'!D261)</f>
        <v>0.38400000000000001</v>
      </c>
      <c r="D261" s="49">
        <v>0.38400000000000001</v>
      </c>
    </row>
    <row r="262" spans="2:4">
      <c r="B262" s="3" t="str">
        <f>'GullyGrip Blocking Data'!E244</f>
        <v>Stone Dam&gt;2m - &lt;3m (3 units)Machine - Assisted</v>
      </c>
      <c r="C262" s="48">
        <f>IFERROR(D262/'Carbon Costs Calculator'!$AD$8,'Project Data'!D262)</f>
        <v>0.77007000000000003</v>
      </c>
      <c r="D262" s="48">
        <v>0.77007000000000003</v>
      </c>
    </row>
    <row r="263" spans="2:4">
      <c r="B263" s="3" t="str">
        <f>'GullyGrip Blocking Data'!E245</f>
        <v>Stone Dam&gt;3m - &lt;4m (4 units)Helicopter - Assisted</v>
      </c>
      <c r="C263" s="49">
        <f>IFERROR(D263/'Carbon Costs Calculator'!$AD$10,'Project Data'!D263)</f>
        <v>0.51200000000000001</v>
      </c>
      <c r="D263" s="49">
        <v>0.51200000000000001</v>
      </c>
    </row>
    <row r="264" spans="2:4">
      <c r="B264" s="3" t="str">
        <f>'GullyGrip Blocking Data'!E246</f>
        <v>Stone Dam&gt;3m - &lt;4m (4 units)Machine - Assisted</v>
      </c>
      <c r="C264" s="48">
        <f>IFERROR(D264/'Carbon Costs Calculator'!$AD$8,'Project Data'!D264)</f>
        <v>1.02607</v>
      </c>
      <c r="D264" s="48">
        <v>1.02607</v>
      </c>
    </row>
    <row r="265" spans="2:4">
      <c r="B265" s="3" t="str">
        <f>'GullyGrip Blocking Data'!E247</f>
        <v>Timber Dam&lt;1m (2 planks)Hand</v>
      </c>
      <c r="C265" s="49">
        <f>IFERROR(D265/'Carbon Costs Calculator'!$AD$12,'Project Data'!D265)</f>
        <v>0.27077000000000001</v>
      </c>
      <c r="D265" s="49">
        <v>0.27077000000000001</v>
      </c>
    </row>
    <row r="266" spans="2:4">
      <c r="B266" s="3" t="str">
        <f>'GullyGrip Blocking Data'!E248</f>
        <v>Timber Dam&lt;1m (2 planks)Helicopter - Assisted</v>
      </c>
      <c r="C266" s="48">
        <f>IFERROR(D266/'Carbon Costs Calculator'!$AD$10,'Project Data'!D266)</f>
        <v>1.2800000000000001E-2</v>
      </c>
      <c r="D266" s="48">
        <v>1.2800000000000001E-2</v>
      </c>
    </row>
    <row r="267" spans="2:4">
      <c r="B267" s="3" t="str">
        <f>'GullyGrip Blocking Data'!E249</f>
        <v>Timber Dam&lt;1m (2 planks)Machine</v>
      </c>
      <c r="C267" s="49">
        <f>IFERROR(D267/'Carbon Costs Calculator'!$AD$8,'Project Data'!D267)</f>
        <v>5.4149999999999997E-2</v>
      </c>
      <c r="D267" s="49">
        <v>5.4149999999999997E-2</v>
      </c>
    </row>
    <row r="268" spans="2:4">
      <c r="B268" s="3" t="str">
        <f>'GullyGrip Blocking Data'!E250</f>
        <v>Timber Dam&gt;1m - &lt;2m (3 planks)Hand</v>
      </c>
      <c r="C268" s="48">
        <f>IFERROR(D268/'Carbon Costs Calculator'!$AD$12,'Project Data'!D268)</f>
        <v>0.34888999999999998</v>
      </c>
      <c r="D268" s="48">
        <v>0.34888999999999998</v>
      </c>
    </row>
    <row r="269" spans="2:4">
      <c r="B269" s="3" t="str">
        <f>'GullyGrip Blocking Data'!E251</f>
        <v>Timber Dam&gt;1m - &lt;2m (3 planks)Helicopter - Assisted</v>
      </c>
      <c r="C269" s="49">
        <f>IFERROR(D269/'Carbon Costs Calculator'!$AD$10,'Project Data'!D269)</f>
        <v>1.6E-2</v>
      </c>
      <c r="D269" s="49">
        <v>1.6E-2</v>
      </c>
    </row>
    <row r="270" spans="2:4">
      <c r="B270" s="3" t="str">
        <f>'GullyGrip Blocking Data'!E252</f>
        <v>Timber Dam&gt;1m - &lt;2m (3 planks)Machine</v>
      </c>
      <c r="C270" s="48">
        <f>IFERROR(D270/'Carbon Costs Calculator'!$AD$8,'Project Data'!D270)</f>
        <v>6.9779999999999995E-2</v>
      </c>
      <c r="D270" s="48">
        <v>6.9779999999999995E-2</v>
      </c>
    </row>
    <row r="271" spans="2:4">
      <c r="B271" s="3" t="str">
        <f>'GullyGrip Blocking Data'!E253</f>
        <v>Timber Dam&gt;2m - &lt;3m (4 planks)Hand</v>
      </c>
      <c r="C271" s="49">
        <f>IFERROR(D271/'Carbon Costs Calculator'!$AD$12,'Project Data'!D271)</f>
        <v>0.42702000000000001</v>
      </c>
      <c r="D271" s="49">
        <v>0.42702000000000001</v>
      </c>
    </row>
    <row r="272" spans="2:4">
      <c r="B272" s="3" t="str">
        <f>'GullyGrip Blocking Data'!E254</f>
        <v>Timber Dam&gt;2m - &lt;3m (4 planks)Helicopter - Assisted</v>
      </c>
      <c r="C272" s="48">
        <f>IFERROR(D272/'Carbon Costs Calculator'!$AD$10,'Project Data'!D272)</f>
        <v>1.9199999999999998E-2</v>
      </c>
      <c r="D272" s="48">
        <v>1.9199999999999998E-2</v>
      </c>
    </row>
    <row r="273" spans="2:4">
      <c r="B273" s="3" t="str">
        <f>'GullyGrip Blocking Data'!E255</f>
        <v>Timber Dam&gt;2m - &lt;3m (4 planks)Machine</v>
      </c>
      <c r="C273" s="49">
        <f>IFERROR(D273/'Carbon Costs Calculator'!$AD$8,'Project Data'!D273)</f>
        <v>8.5400000000000004E-2</v>
      </c>
      <c r="D273" s="71">
        <v>8.5400000000000004E-2</v>
      </c>
    </row>
  </sheetData>
  <sheetProtection algorithmName="SHA-512" hashValue="TdWx4zWSUEBjEjZ8KBiy7rSaMvGIlFG4troANyub4S4Ui+omh2sDt07G84GC+QG+bxhe6mH9plLSQRAyuJ2KZg==" saltValue="khVUUjf5nkK9XjH7ksPJ6w==" spinCount="100000" sheet="1" objects="1" scenarios="1" selectLockedCells="1" selectUnlockedCells="1"/>
  <pageMargins left="0.7" right="0.7" top="0.75" bottom="0.75" header="0.3" footer="0.3"/>
  <ignoredErrors>
    <ignoredError sqref="C134:C273 C29 C33:C119 C13:C26" calculatedColumn="1"/>
  </ignoredErrors>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73593F9805294FADE74491767DD5C3" ma:contentTypeVersion="20" ma:contentTypeDescription="Create a new document." ma:contentTypeScope="" ma:versionID="b57719d56dcf0ecf8658329f17c53187">
  <xsd:schema xmlns:xsd="http://www.w3.org/2001/XMLSchema" xmlns:xs="http://www.w3.org/2001/XMLSchema" xmlns:p="http://schemas.microsoft.com/office/2006/metadata/properties" xmlns:ns2="69247f1a-2fd5-43c8-b0d1-17afc01ad14b" xmlns:ns3="1fc53f18-e099-4058-93f1-eb830005650c" targetNamespace="http://schemas.microsoft.com/office/2006/metadata/properties" ma:root="true" ma:fieldsID="1bac2a478c0ff35433e684b0ef491c62" ns2:_="" ns3:_="">
    <xsd:import namespace="69247f1a-2fd5-43c8-b0d1-17afc01ad14b"/>
    <xsd:import namespace="1fc53f18-e099-4058-93f1-eb830005650c"/>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7f1a-2fd5-43c8-b0d1-17afc01ad14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98a662a-7e28-481f-b2c3-7a8fdc2b806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53f18-e099-4058-93f1-eb83000565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4fe57-acd8-40a9-a1db-b6c880427c58}" ma:internalName="TaxCatchAll" ma:showField="CatchAllData" ma:web="1fc53f18-e099-4058-93f1-eb830005650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247f1a-2fd5-43c8-b0d1-17afc01ad14b">
      <Terms xmlns="http://schemas.microsoft.com/office/infopath/2007/PartnerControls"/>
    </lcf76f155ced4ddcb4097134ff3c332f>
    <TaxCatchAll xmlns="1fc53f18-e099-4058-93f1-eb830005650c" xsi:nil="true"/>
    <MigrationWizIdPermissions xmlns="69247f1a-2fd5-43c8-b0d1-17afc01ad14b" xsi:nil="true"/>
    <MigrationWizIdVersion xmlns="69247f1a-2fd5-43c8-b0d1-17afc01ad14b" xsi:nil="true"/>
    <MigrationWizId xmlns="69247f1a-2fd5-43c8-b0d1-17afc01ad14b" xsi:nil="true"/>
  </documentManagement>
</p:properties>
</file>

<file path=customXml/itemProps1.xml><?xml version="1.0" encoding="utf-8"?>
<ds:datastoreItem xmlns:ds="http://schemas.openxmlformats.org/officeDocument/2006/customXml" ds:itemID="{FEABE53B-A3A9-4C01-AFF6-BF9BE35C89C7}"/>
</file>

<file path=customXml/itemProps2.xml><?xml version="1.0" encoding="utf-8"?>
<ds:datastoreItem xmlns:ds="http://schemas.openxmlformats.org/officeDocument/2006/customXml" ds:itemID="{12D4B2B8-E054-4A12-BA04-D8364F62F53D}"/>
</file>

<file path=customXml/itemProps3.xml><?xml version="1.0" encoding="utf-8"?>
<ds:datastoreItem xmlns:ds="http://schemas.openxmlformats.org/officeDocument/2006/customXml" ds:itemID="{5D4946BA-74A8-40F2-B6FE-E7E7F6F88E04}"/>
</file>

<file path=docProps/app.xml><?xml version="1.0" encoding="utf-8"?>
<Properties xmlns="http://schemas.openxmlformats.org/officeDocument/2006/extended-properties" xmlns:vt="http://schemas.openxmlformats.org/officeDocument/2006/docPropsVTypes">
  <Application>Microsoft Excel Online</Application>
  <Manager/>
  <Company>University of Cumbria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Brennand, Jack</dc:creator>
  <cp:keywords/>
  <dc:description/>
  <cp:lastModifiedBy>Garance Wood-Moulin</cp:lastModifiedBy>
  <cp:revision/>
  <dcterms:created xsi:type="dcterms:W3CDTF">2024-05-01T10:59:10Z</dcterms:created>
  <dcterms:modified xsi:type="dcterms:W3CDTF">2025-02-17T15:03:02Z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0x0101007673593F9805294FADE74491767DD5C3</vt:lpwstr>
  </property>
  <property fmtid="{D5CDD505-2E9C-101B-9397-08002B2CF9AE}" pid="3" name="MediaServiceImageTags">
    <vt:lpwstr/>
  </property>
</Properties>
</file>